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que\Desktop\EstadisticasWEB\Carga Estadisticas\"/>
    </mc:Choice>
  </mc:AlternateContent>
  <xr:revisionPtr revIDLastSave="0" documentId="13_ncr:1_{209639B9-EC8B-43C8-8D9F-24FCA000A9A2}" xr6:coauthVersionLast="47" xr6:coauthVersionMax="47" xr10:uidLastSave="{00000000-0000-0000-0000-000000000000}"/>
  <bookViews>
    <workbookView xWindow="-120" yWindow="-120" windowWidth="19800" windowHeight="11760" tabRatio="781" activeTab="3" xr2:uid="{00000000-000D-0000-FFFF-FFFF00000000}"/>
  </bookViews>
  <sheets>
    <sheet name="Ene-21" sheetId="68" r:id="rId1"/>
    <sheet name="Feb-21" sheetId="69" r:id="rId2"/>
    <sheet name="Mar-21" sheetId="70" r:id="rId3"/>
    <sheet name="Abr-21" sheetId="7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5" i="71" l="1"/>
  <c r="F185" i="70"/>
  <c r="F184" i="71"/>
  <c r="F184" i="70"/>
  <c r="F160" i="71"/>
  <c r="F159" i="71"/>
  <c r="F76" i="71"/>
  <c r="F75" i="71"/>
  <c r="F74" i="71"/>
  <c r="F73" i="71"/>
  <c r="F72" i="71"/>
  <c r="C193" i="71"/>
  <c r="C189" i="71"/>
  <c r="C181" i="71"/>
  <c r="C177" i="71"/>
  <c r="C173" i="71"/>
  <c r="C169" i="71"/>
  <c r="C164" i="71"/>
  <c r="C48" i="71"/>
  <c r="C44" i="71"/>
  <c r="C40" i="71"/>
  <c r="C35" i="71"/>
  <c r="C14" i="71"/>
  <c r="C16" i="71" s="1"/>
  <c r="C21" i="71" s="1"/>
  <c r="C8" i="71"/>
  <c r="D35" i="71"/>
  <c r="D8" i="71"/>
  <c r="E189" i="71" l="1"/>
  <c r="E185" i="71"/>
  <c r="E193" i="71" s="1"/>
  <c r="E184" i="71"/>
  <c r="E177" i="71"/>
  <c r="E173" i="71"/>
  <c r="E169" i="71"/>
  <c r="E164" i="71"/>
  <c r="E160" i="71"/>
  <c r="G164" i="71" s="1"/>
  <c r="E159" i="71"/>
  <c r="G163" i="71"/>
  <c r="E152" i="71"/>
  <c r="E133" i="71"/>
  <c r="E35" i="71"/>
  <c r="E21" i="71"/>
  <c r="E27" i="71" s="1"/>
  <c r="E8" i="71"/>
  <c r="G129" i="71"/>
  <c r="G130" i="71"/>
  <c r="G188" i="71"/>
  <c r="D185" i="71"/>
  <c r="D184" i="71"/>
  <c r="C184" i="71"/>
  <c r="C185" i="71"/>
  <c r="G180" i="71"/>
  <c r="G177" i="71"/>
  <c r="G176" i="71"/>
  <c r="G173" i="71"/>
  <c r="G172" i="71"/>
  <c r="G169" i="71"/>
  <c r="G168" i="71"/>
  <c r="G160" i="71"/>
  <c r="G159" i="71"/>
  <c r="G156" i="71"/>
  <c r="G155" i="71"/>
  <c r="G152" i="71"/>
  <c r="G151" i="71"/>
  <c r="G148" i="71"/>
  <c r="G147" i="71"/>
  <c r="G141" i="71"/>
  <c r="G138" i="71"/>
  <c r="G137" i="71"/>
  <c r="G133" i="71"/>
  <c r="G126" i="71"/>
  <c r="G124" i="71"/>
  <c r="G121" i="71"/>
  <c r="G120" i="71"/>
  <c r="G119" i="71"/>
  <c r="G117" i="71"/>
  <c r="G116" i="71"/>
  <c r="G115" i="71"/>
  <c r="G112" i="71"/>
  <c r="G111" i="71"/>
  <c r="G110" i="71"/>
  <c r="G108" i="71"/>
  <c r="G107" i="71"/>
  <c r="G106" i="71"/>
  <c r="E102" i="71"/>
  <c r="D102" i="71"/>
  <c r="C102" i="71"/>
  <c r="E101" i="71"/>
  <c r="D101" i="71"/>
  <c r="C101" i="71"/>
  <c r="G100" i="71"/>
  <c r="G99" i="71"/>
  <c r="G98" i="71"/>
  <c r="G96" i="71"/>
  <c r="G95" i="71"/>
  <c r="G94" i="71"/>
  <c r="G93" i="71"/>
  <c r="G92" i="71"/>
  <c r="G90" i="71"/>
  <c r="G89" i="71"/>
  <c r="G88" i="71"/>
  <c r="G87" i="71"/>
  <c r="G86" i="71"/>
  <c r="G84" i="71"/>
  <c r="G83" i="71"/>
  <c r="G82" i="71"/>
  <c r="G81" i="71"/>
  <c r="G80" i="71"/>
  <c r="E76" i="71"/>
  <c r="D76" i="71"/>
  <c r="C76" i="71"/>
  <c r="G76" i="71" s="1"/>
  <c r="E75" i="71"/>
  <c r="D75" i="71"/>
  <c r="C75" i="71"/>
  <c r="D74" i="71"/>
  <c r="G74" i="71" s="1"/>
  <c r="E73" i="71"/>
  <c r="D73" i="71"/>
  <c r="C73" i="71"/>
  <c r="E72" i="71"/>
  <c r="D72" i="71"/>
  <c r="C72" i="71"/>
  <c r="G70" i="71"/>
  <c r="G69" i="71"/>
  <c r="G68" i="71"/>
  <c r="G67" i="71"/>
  <c r="G66" i="71"/>
  <c r="G64" i="71"/>
  <c r="G63" i="71"/>
  <c r="G60" i="71"/>
  <c r="G58" i="71"/>
  <c r="G57" i="71"/>
  <c r="G56" i="71"/>
  <c r="G55" i="71"/>
  <c r="G54" i="71"/>
  <c r="G48" i="71"/>
  <c r="G47" i="71"/>
  <c r="G44" i="71"/>
  <c r="G43" i="71"/>
  <c r="G40" i="71"/>
  <c r="G39" i="71"/>
  <c r="G35" i="71"/>
  <c r="G30" i="71"/>
  <c r="G24" i="71"/>
  <c r="F21" i="71"/>
  <c r="F27" i="71" s="1"/>
  <c r="D21" i="71"/>
  <c r="D27" i="71" s="1"/>
  <c r="G19" i="71"/>
  <c r="G15" i="71"/>
  <c r="G14" i="71"/>
  <c r="G13" i="71"/>
  <c r="G12" i="71"/>
  <c r="G7" i="71"/>
  <c r="G6" i="71"/>
  <c r="F189" i="70"/>
  <c r="F188" i="70"/>
  <c r="E189" i="70"/>
  <c r="E185" i="70"/>
  <c r="E184" i="70"/>
  <c r="E192" i="70" s="1"/>
  <c r="E177" i="70"/>
  <c r="E173" i="70"/>
  <c r="E169" i="70"/>
  <c r="E164" i="70"/>
  <c r="E160" i="70"/>
  <c r="E159" i="70"/>
  <c r="E152" i="70"/>
  <c r="E133" i="70"/>
  <c r="E76" i="70"/>
  <c r="E75" i="70"/>
  <c r="E73" i="70"/>
  <c r="E72" i="70"/>
  <c r="E35" i="70"/>
  <c r="D185" i="70"/>
  <c r="D184" i="70"/>
  <c r="D76" i="70"/>
  <c r="D75" i="70"/>
  <c r="D74" i="70"/>
  <c r="D73" i="70"/>
  <c r="D72" i="70"/>
  <c r="D35" i="70"/>
  <c r="D8" i="70"/>
  <c r="E192" i="71" l="1"/>
  <c r="G75" i="71"/>
  <c r="G185" i="71"/>
  <c r="G184" i="71"/>
  <c r="F193" i="71"/>
  <c r="G189" i="71"/>
  <c r="F192" i="71"/>
  <c r="G192" i="71" s="1"/>
  <c r="G102" i="71"/>
  <c r="G101" i="71"/>
  <c r="G72" i="71"/>
  <c r="G73" i="71"/>
  <c r="G8" i="71"/>
  <c r="G21" i="71"/>
  <c r="C27" i="71"/>
  <c r="G27" i="71" s="1"/>
  <c r="G16" i="71"/>
  <c r="G181" i="71"/>
  <c r="E193" i="70"/>
  <c r="C193" i="70"/>
  <c r="C189" i="70"/>
  <c r="C181" i="70"/>
  <c r="C177" i="70"/>
  <c r="C173" i="70"/>
  <c r="C169" i="70"/>
  <c r="C164" i="70"/>
  <c r="C76" i="70"/>
  <c r="C75" i="70"/>
  <c r="C73" i="70"/>
  <c r="C72" i="70"/>
  <c r="C48" i="70"/>
  <c r="C44" i="70"/>
  <c r="C40" i="70"/>
  <c r="C35" i="70"/>
  <c r="C14" i="70"/>
  <c r="C16" i="70" s="1"/>
  <c r="C8" i="70"/>
  <c r="G193" i="71" l="1"/>
  <c r="G189" i="70"/>
  <c r="G188" i="70"/>
  <c r="F193" i="70"/>
  <c r="F192" i="70"/>
  <c r="C184" i="70"/>
  <c r="G181" i="70"/>
  <c r="C185" i="70"/>
  <c r="G180" i="70"/>
  <c r="G177" i="70"/>
  <c r="G176" i="70"/>
  <c r="G173" i="70"/>
  <c r="G172" i="70"/>
  <c r="G169" i="70"/>
  <c r="G168" i="70"/>
  <c r="G164" i="70"/>
  <c r="G163" i="70"/>
  <c r="G160" i="70"/>
  <c r="G156" i="70"/>
  <c r="G155" i="70"/>
  <c r="G152" i="70"/>
  <c r="G151" i="70"/>
  <c r="G148" i="70"/>
  <c r="G147" i="70"/>
  <c r="G141" i="70"/>
  <c r="G138" i="70"/>
  <c r="G137" i="70"/>
  <c r="G133" i="70"/>
  <c r="G130" i="70"/>
  <c r="G129" i="70"/>
  <c r="G126" i="70"/>
  <c r="G124" i="70"/>
  <c r="G121" i="70"/>
  <c r="G120" i="70"/>
  <c r="G119" i="70"/>
  <c r="G117" i="70"/>
  <c r="G116" i="70"/>
  <c r="G115" i="70"/>
  <c r="G112" i="70"/>
  <c r="G111" i="70"/>
  <c r="G110" i="70"/>
  <c r="G108" i="70"/>
  <c r="G107" i="70"/>
  <c r="G106" i="70"/>
  <c r="E102" i="70"/>
  <c r="D102" i="70"/>
  <c r="C102" i="70"/>
  <c r="E101" i="70"/>
  <c r="D101" i="70"/>
  <c r="C101" i="70"/>
  <c r="G100" i="70"/>
  <c r="G99" i="70"/>
  <c r="G98" i="70"/>
  <c r="G96" i="70"/>
  <c r="G95" i="70"/>
  <c r="G94" i="70"/>
  <c r="G93" i="70"/>
  <c r="G92" i="70"/>
  <c r="G90" i="70"/>
  <c r="G89" i="70"/>
  <c r="G88" i="70"/>
  <c r="G87" i="70"/>
  <c r="G86" i="70"/>
  <c r="G84" i="70"/>
  <c r="G83" i="70"/>
  <c r="G82" i="70"/>
  <c r="G81" i="70"/>
  <c r="G80" i="70"/>
  <c r="G76" i="70"/>
  <c r="G74" i="70"/>
  <c r="G70" i="70"/>
  <c r="G69" i="70"/>
  <c r="G68" i="70"/>
  <c r="G67" i="70"/>
  <c r="G66" i="70"/>
  <c r="G64" i="70"/>
  <c r="G63" i="70"/>
  <c r="G60" i="70"/>
  <c r="G58" i="70"/>
  <c r="G57" i="70"/>
  <c r="G56" i="70"/>
  <c r="G55" i="70"/>
  <c r="G54" i="70"/>
  <c r="G48" i="70"/>
  <c r="G47" i="70"/>
  <c r="G44" i="70"/>
  <c r="G43" i="70"/>
  <c r="G40" i="70"/>
  <c r="G39" i="70"/>
  <c r="G35" i="70"/>
  <c r="G34" i="70"/>
  <c r="G33" i="70"/>
  <c r="G30" i="70"/>
  <c r="G24" i="70"/>
  <c r="F21" i="70"/>
  <c r="F27" i="70" s="1"/>
  <c r="G19" i="70"/>
  <c r="E21" i="70"/>
  <c r="E27" i="70" s="1"/>
  <c r="D21" i="70"/>
  <c r="D27" i="70" s="1"/>
  <c r="G15" i="70"/>
  <c r="G13" i="70"/>
  <c r="G12" i="70"/>
  <c r="G8" i="70"/>
  <c r="G7" i="70"/>
  <c r="G6" i="70"/>
  <c r="C181" i="69"/>
  <c r="G184" i="70" l="1"/>
  <c r="G192" i="70"/>
  <c r="G159" i="70"/>
  <c r="G102" i="70"/>
  <c r="G101" i="70"/>
  <c r="G73" i="70"/>
  <c r="G75" i="70"/>
  <c r="G72" i="70"/>
  <c r="G193" i="70"/>
  <c r="G16" i="70"/>
  <c r="C21" i="70"/>
  <c r="G185" i="70"/>
  <c r="G14" i="70"/>
  <c r="D101" i="69"/>
  <c r="F184" i="69"/>
  <c r="F185" i="69"/>
  <c r="C193" i="69"/>
  <c r="C189" i="69"/>
  <c r="C184" i="69"/>
  <c r="C177" i="69"/>
  <c r="C173" i="69"/>
  <c r="C185" i="69" s="1"/>
  <c r="C169" i="69"/>
  <c r="C164" i="69"/>
  <c r="C102" i="69"/>
  <c r="C101" i="69"/>
  <c r="C76" i="69"/>
  <c r="C75" i="69"/>
  <c r="C73" i="69"/>
  <c r="C72" i="69"/>
  <c r="C48" i="69"/>
  <c r="C44" i="69"/>
  <c r="C40" i="69"/>
  <c r="C14" i="69"/>
  <c r="D102" i="69"/>
  <c r="D76" i="69"/>
  <c r="D75" i="69"/>
  <c r="D74" i="69"/>
  <c r="D73" i="69"/>
  <c r="D72" i="69"/>
  <c r="C27" i="70" l="1"/>
  <c r="G27" i="70" s="1"/>
  <c r="G21" i="70"/>
  <c r="E189" i="69"/>
  <c r="E184" i="69"/>
  <c r="E177" i="69"/>
  <c r="E185" i="69" s="1"/>
  <c r="E173" i="69"/>
  <c r="E169" i="69"/>
  <c r="E164" i="69"/>
  <c r="E160" i="69"/>
  <c r="E159" i="69"/>
  <c r="G159" i="69" s="1"/>
  <c r="E152" i="69"/>
  <c r="E133" i="69"/>
  <c r="E76" i="69"/>
  <c r="E75" i="69"/>
  <c r="E73" i="69"/>
  <c r="E72" i="69"/>
  <c r="G72" i="69" s="1"/>
  <c r="E48" i="69"/>
  <c r="E16" i="69"/>
  <c r="E21" i="69" s="1"/>
  <c r="F35" i="69"/>
  <c r="E35" i="69"/>
  <c r="D35" i="69"/>
  <c r="C35" i="69"/>
  <c r="F16" i="69"/>
  <c r="F21" i="69" s="1"/>
  <c r="F27" i="69" s="1"/>
  <c r="D16" i="69"/>
  <c r="D21" i="69" s="1"/>
  <c r="D27" i="69" s="1"/>
  <c r="F8" i="69"/>
  <c r="C8" i="69"/>
  <c r="D8" i="69"/>
  <c r="G189" i="69"/>
  <c r="G188" i="69"/>
  <c r="F193" i="69"/>
  <c r="F192" i="69"/>
  <c r="G181" i="69"/>
  <c r="G180" i="69"/>
  <c r="G177" i="69"/>
  <c r="G176" i="69"/>
  <c r="G173" i="69"/>
  <c r="G172" i="69"/>
  <c r="G169" i="69"/>
  <c r="G168" i="69"/>
  <c r="G164" i="69"/>
  <c r="G163" i="69"/>
  <c r="G160" i="69"/>
  <c r="G156" i="69"/>
  <c r="G155" i="69"/>
  <c r="G152" i="69"/>
  <c r="G151" i="69"/>
  <c r="G148" i="69"/>
  <c r="G147" i="69"/>
  <c r="G141" i="69"/>
  <c r="G138" i="69"/>
  <c r="G137" i="69"/>
  <c r="G133" i="69"/>
  <c r="G130" i="69"/>
  <c r="G129" i="69"/>
  <c r="G126" i="69"/>
  <c r="G124" i="69"/>
  <c r="G121" i="69"/>
  <c r="G120" i="69"/>
  <c r="G119" i="69"/>
  <c r="G117" i="69"/>
  <c r="G116" i="69"/>
  <c r="G115" i="69"/>
  <c r="G112" i="69"/>
  <c r="G111" i="69"/>
  <c r="G110" i="69"/>
  <c r="G108" i="69"/>
  <c r="G107" i="69"/>
  <c r="G106" i="69"/>
  <c r="E102" i="69"/>
  <c r="G102" i="69" s="1"/>
  <c r="E101" i="69"/>
  <c r="G101" i="69" s="1"/>
  <c r="G100" i="69"/>
  <c r="G99" i="69"/>
  <c r="G98" i="69"/>
  <c r="G96" i="69"/>
  <c r="G95" i="69"/>
  <c r="G94" i="69"/>
  <c r="G93" i="69"/>
  <c r="G92" i="69"/>
  <c r="G90" i="69"/>
  <c r="G89" i="69"/>
  <c r="G88" i="69"/>
  <c r="G87" i="69"/>
  <c r="G86" i="69"/>
  <c r="G84" i="69"/>
  <c r="G83" i="69"/>
  <c r="G82" i="69"/>
  <c r="G81" i="69"/>
  <c r="G80" i="69"/>
  <c r="G76" i="69"/>
  <c r="G75" i="69"/>
  <c r="G74" i="69"/>
  <c r="G73" i="69"/>
  <c r="G70" i="69"/>
  <c r="G69" i="69"/>
  <c r="G68" i="69"/>
  <c r="G67" i="69"/>
  <c r="G66" i="69"/>
  <c r="G64" i="69"/>
  <c r="G63" i="69"/>
  <c r="G60" i="69"/>
  <c r="G58" i="69"/>
  <c r="G57" i="69"/>
  <c r="G56" i="69"/>
  <c r="G55" i="69"/>
  <c r="G54" i="69"/>
  <c r="G48" i="69"/>
  <c r="G47" i="69"/>
  <c r="G44" i="69"/>
  <c r="G43" i="69"/>
  <c r="G40" i="69"/>
  <c r="G39" i="69"/>
  <c r="G34" i="69"/>
  <c r="G33" i="69"/>
  <c r="G30" i="69"/>
  <c r="G24" i="69"/>
  <c r="G19" i="69"/>
  <c r="G15" i="69"/>
  <c r="G13" i="69"/>
  <c r="G12" i="69"/>
  <c r="E8" i="69"/>
  <c r="G7" i="69"/>
  <c r="G6" i="69"/>
  <c r="F185" i="68"/>
  <c r="F184" i="68"/>
  <c r="G185" i="69" l="1"/>
  <c r="G35" i="69"/>
  <c r="G14" i="69"/>
  <c r="G184" i="69"/>
  <c r="G8" i="69"/>
  <c r="E27" i="69"/>
  <c r="E193" i="69"/>
  <c r="G193" i="69" s="1"/>
  <c r="C16" i="69"/>
  <c r="E192" i="69"/>
  <c r="G192" i="69" s="1"/>
  <c r="F27" i="68"/>
  <c r="C44" i="68"/>
  <c r="C40" i="68"/>
  <c r="C14" i="68"/>
  <c r="C16" i="68" s="1"/>
  <c r="G16" i="69" l="1"/>
  <c r="C21" i="69"/>
  <c r="E189" i="68"/>
  <c r="E185" i="68"/>
  <c r="E184" i="68"/>
  <c r="E177" i="68"/>
  <c r="E173" i="68"/>
  <c r="E169" i="68"/>
  <c r="E164" i="68"/>
  <c r="E160" i="68"/>
  <c r="E159" i="68"/>
  <c r="E152" i="68"/>
  <c r="E133" i="68"/>
  <c r="E76" i="68"/>
  <c r="E75" i="68"/>
  <c r="E73" i="68"/>
  <c r="E72" i="68"/>
  <c r="E14" i="68"/>
  <c r="E16" i="68" s="1"/>
  <c r="E21" i="68" s="1"/>
  <c r="E27" i="68" s="1"/>
  <c r="E8" i="68"/>
  <c r="C27" i="69" l="1"/>
  <c r="G27" i="69" s="1"/>
  <c r="G21" i="69"/>
  <c r="F192" i="68"/>
  <c r="F193" i="68"/>
  <c r="E102" i="68" l="1"/>
  <c r="E101" i="68"/>
  <c r="E192" i="68" l="1"/>
  <c r="E193" i="68"/>
  <c r="G189" i="68" l="1"/>
  <c r="G188" i="68"/>
  <c r="G193" i="68"/>
  <c r="G185" i="68"/>
  <c r="G192" i="68"/>
  <c r="G184" i="68"/>
  <c r="G181" i="68"/>
  <c r="G180" i="68"/>
  <c r="G177" i="68"/>
  <c r="G176" i="68"/>
  <c r="G173" i="68"/>
  <c r="G172" i="68"/>
  <c r="G169" i="68"/>
  <c r="G168" i="68"/>
  <c r="G164" i="68"/>
  <c r="G163" i="68"/>
  <c r="G160" i="68"/>
  <c r="G159" i="68"/>
  <c r="G156" i="68"/>
  <c r="G155" i="68"/>
  <c r="G152" i="68"/>
  <c r="G151" i="68"/>
  <c r="G148" i="68"/>
  <c r="G147" i="68"/>
  <c r="G141" i="68"/>
  <c r="G138" i="68"/>
  <c r="G137" i="68"/>
  <c r="G133" i="68"/>
  <c r="G130" i="68"/>
  <c r="G129" i="68"/>
  <c r="G126" i="68"/>
  <c r="G124" i="68"/>
  <c r="G121" i="68"/>
  <c r="G120" i="68"/>
  <c r="G119" i="68"/>
  <c r="G117" i="68"/>
  <c r="G116" i="68"/>
  <c r="G115" i="68"/>
  <c r="G112" i="68"/>
  <c r="G111" i="68"/>
  <c r="G110" i="68"/>
  <c r="G108" i="68"/>
  <c r="G107" i="68"/>
  <c r="G106" i="68"/>
  <c r="G102" i="68"/>
  <c r="G101" i="68"/>
  <c r="G100" i="68"/>
  <c r="G99" i="68"/>
  <c r="G98" i="68"/>
  <c r="G96" i="68"/>
  <c r="G95" i="68"/>
  <c r="G94" i="68"/>
  <c r="G93" i="68"/>
  <c r="G92" i="68"/>
  <c r="G90" i="68"/>
  <c r="G89" i="68"/>
  <c r="G88" i="68"/>
  <c r="G87" i="68"/>
  <c r="G86" i="68"/>
  <c r="G84" i="68"/>
  <c r="G83" i="68"/>
  <c r="G82" i="68"/>
  <c r="G81" i="68"/>
  <c r="G80" i="68"/>
  <c r="G76" i="68"/>
  <c r="G75" i="68"/>
  <c r="G74" i="68"/>
  <c r="G73" i="68"/>
  <c r="G72" i="68"/>
  <c r="G70" i="68"/>
  <c r="G69" i="68"/>
  <c r="G68" i="68"/>
  <c r="G67" i="68"/>
  <c r="G66" i="68"/>
  <c r="G64" i="68"/>
  <c r="G63" i="68"/>
  <c r="G60" i="68"/>
  <c r="G58" i="68"/>
  <c r="G57" i="68"/>
  <c r="G56" i="68"/>
  <c r="G55" i="68"/>
  <c r="G54" i="68"/>
  <c r="G48" i="68"/>
  <c r="G47" i="68"/>
  <c r="G44" i="68"/>
  <c r="G43" i="68"/>
  <c r="G40" i="68"/>
  <c r="G39" i="68"/>
  <c r="G35" i="68"/>
  <c r="G34" i="68"/>
  <c r="G33" i="68"/>
  <c r="G30" i="68"/>
  <c r="G27" i="68"/>
  <c r="G24" i="68"/>
  <c r="G21" i="68"/>
  <c r="G19" i="68"/>
  <c r="G16" i="68"/>
  <c r="G15" i="68"/>
  <c r="G14" i="68"/>
  <c r="G13" i="68"/>
  <c r="G12" i="68"/>
  <c r="G8" i="68"/>
  <c r="G7" i="68"/>
  <c r="G6" i="68"/>
</calcChain>
</file>

<file path=xl/sharedStrings.xml><?xml version="1.0" encoding="utf-8"?>
<sst xmlns="http://schemas.openxmlformats.org/spreadsheetml/2006/main" count="664" uniqueCount="114">
  <si>
    <t xml:space="preserve"> </t>
  </si>
  <si>
    <t>CCAF</t>
  </si>
  <si>
    <t>Los Andes</t>
  </si>
  <si>
    <t>La Araucana</t>
  </si>
  <si>
    <t>Los Héroes</t>
  </si>
  <si>
    <t>Total</t>
  </si>
  <si>
    <t>I. Información Poblacional</t>
  </si>
  <si>
    <t>Empresas Afiliadas</t>
  </si>
  <si>
    <t>N° Empresas Privadas</t>
  </si>
  <si>
    <t>N° Empresas Públicas</t>
  </si>
  <si>
    <t>Total Empresas Afiliadas</t>
  </si>
  <si>
    <t>Trabajadores Afiliados</t>
  </si>
  <si>
    <t xml:space="preserve">Trabajadores Dependientes </t>
  </si>
  <si>
    <t>N° Trabajadores Dependientes Privados Isapre</t>
  </si>
  <si>
    <t>N° Trabajadores Dependientes Privados Fonasa</t>
  </si>
  <si>
    <t>N° Trabajadores Dependientes Privados</t>
  </si>
  <si>
    <t>N° Trabajadores Dependientes Públicos</t>
  </si>
  <si>
    <t>N° Trabajadores Dependientes Total</t>
  </si>
  <si>
    <t xml:space="preserve">Trabajadores Independientes </t>
  </si>
  <si>
    <t xml:space="preserve">N° Trabajadores Independientes </t>
  </si>
  <si>
    <t>N° Trabajadores Afiliados Total</t>
  </si>
  <si>
    <t>Pensionados Afiliados</t>
  </si>
  <si>
    <t>N° Pensionados Afiliados</t>
  </si>
  <si>
    <t>Total Afiliados</t>
  </si>
  <si>
    <t>N° Total de Afiliados</t>
  </si>
  <si>
    <t>Cargas Familiares Vigentes</t>
  </si>
  <si>
    <t>N° Cargas Familiares Vigentes</t>
  </si>
  <si>
    <t>Remuneraciones de Afiliados</t>
  </si>
  <si>
    <t>Remuneración Total (imponible) trabajadores afiliados ($)</t>
  </si>
  <si>
    <t>Remuneración Total  (imponible) pensionados ($)</t>
  </si>
  <si>
    <t>Total Remuneraciones afiliados ($)</t>
  </si>
  <si>
    <t>II. Información Prestaciones Legales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</si>
  <si>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</si>
  <si>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</si>
  <si>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</si>
  <si>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</si>
  <si>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</si>
  <si>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</si>
  <si>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</si>
  <si>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</si>
  <si>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</si>
  <si>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III. Información Productos y Servicios</t>
  </si>
  <si>
    <t>Crédito Social (No Incluye Crédito Hipotecario)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</si>
  <si>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</si>
  <si>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</si>
  <si>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</si>
  <si>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</si>
  <si>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</si>
  <si>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Monto de Créditos Cartera Vigente (MM$) (*)</t>
  </si>
  <si>
    <t>Trabajadores Independientes</t>
  </si>
  <si>
    <t>Pensionados</t>
  </si>
  <si>
    <t>Total Crédito Social</t>
  </si>
  <si>
    <t>Crédito Hipotecario</t>
  </si>
  <si>
    <t>Total Crédito Hipotecario</t>
  </si>
  <si>
    <t>Tasa de Interés Colocación Crédito Social</t>
  </si>
  <si>
    <t>Trabajadores (Para monto menor o igual a 200 UF)</t>
  </si>
  <si>
    <t>Plazo 24 meses (%)</t>
  </si>
  <si>
    <t>Plazo 36 meses (%)</t>
  </si>
  <si>
    <t>Plazo 60 meses (%)</t>
  </si>
  <si>
    <t>Trabajadores (Para monto mayor a 200 UF y menor a 5000 UF)</t>
  </si>
  <si>
    <t>Pensionados (Para monto menor o igual a 200 UF)</t>
  </si>
  <si>
    <t>Pensionados (Para monto mayor a 200 UF y menor a 5000 UF)</t>
  </si>
  <si>
    <t>Tasa de Interés Promedio Colocación Crédito Hipotecario al último día del mes (%)</t>
  </si>
  <si>
    <t>anualizada (%)</t>
  </si>
  <si>
    <t>Tasa de Interés Promedio Cartera Vigente (%) (No incluye crédito hipotecario)</t>
  </si>
  <si>
    <t>mensual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</si>
  <si>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</si>
  <si>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</si>
  <si>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</si>
  <si>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</si>
  <si>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</si>
  <si>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IV. Información Servicios a Terceros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</si>
  <si>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</si>
  <si>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</si>
  <si>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</si>
  <si>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</si>
  <si>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</si>
  <si>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V. Información Beneficios No Retornables</t>
  </si>
  <si>
    <t>Educación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</si>
  <si>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</si>
  <si>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</si>
  <si>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</si>
  <si>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</si>
  <si>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</si>
  <si>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</si>
  <si>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Otros Beneficios Educacionales</t>
  </si>
  <si>
    <t>N° Beneficios Pagados</t>
  </si>
  <si>
    <t>Monto Beneficios Pagados (MM$)</t>
  </si>
  <si>
    <t>Total Beneficios Educacionales</t>
  </si>
  <si>
    <t>N° Beneficios Pagados Total</t>
  </si>
  <si>
    <t>Monto de Beneficios Pagados Total (MM$)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</si>
  <si>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</si>
  <si>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</si>
  <si>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</si>
  <si>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</si>
  <si>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</si>
  <si>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</si>
  <si>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</si>
  <si>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</si>
  <si>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</si>
  <si>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 xml:space="preserve">Total asignaciones de contingencias </t>
  </si>
  <si>
    <t>N° asignaciones de contingencias pagadas</t>
  </si>
  <si>
    <t>Monto de asignaciones de contingencias pagadas (MM$)</t>
  </si>
  <si>
    <t>Otros beneficios no retornables</t>
  </si>
  <si>
    <t>N° de otros beneficios pagados</t>
  </si>
  <si>
    <t>Monto de otros beneficios pagados (MM$)</t>
  </si>
  <si>
    <t>Total Beneficios No Retornables</t>
  </si>
  <si>
    <t>N° total de beneficios pagados</t>
  </si>
  <si>
    <t>Monto total de beneficios pagados (MM$)</t>
  </si>
  <si>
    <t>(*) corresponde a la suma del saldo insoluto más intereses devengados del total de créditos vigentes o con mora menor a 12 meses que mantiene la C.C.A.F. a la fecha de corte</t>
  </si>
  <si>
    <t>Caja 18</t>
  </si>
  <si>
    <t>N° Colocaciones del mes (**)</t>
  </si>
  <si>
    <t>Monto de Colocaciones del mes (MM$) (**)</t>
  </si>
  <si>
    <t>(**) Colocaciones de Los Andes y La Araucana considera creditos nuevos. Para Caja 18 y Los Heroes se consideran creditos nuevos, reprogramaciones y renegociaciones.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</si>
</sst>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_ ;[Red]\-#,##0\ "/>
    <numFmt numFmtId="168" formatCode="#,##0.0_ ;[Red]\-#,##0.0\ "/>
    <numFmt numFmtId="169" formatCode="_-* #,##0_-;\-* #,##0_-;_-* &quot;-&quot;??_-;_-@_-"/>
    <numFmt numFmtId="170" formatCode="#,##0.000"/>
    <numFmt numFmtId="171" formatCode="0.0"/>
    <numFmt numFmtId="172" formatCode="\$#,##0"/>
    <numFmt numFmtId="173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6" fillId="3" borderId="2" xfId="0" applyFont="1" applyFill="1" applyBorder="1" applyAlignment="1">
      <alignment horizontal="center"/>
    </xf>
    <xf numFmtId="16" fontId="6" fillId="3" borderId="2" xfId="0" applyNumberFormat="1" applyFont="1" applyFill="1" applyBorder="1" applyAlignment="1">
      <alignment horizontal="center"/>
    </xf>
    <xf numFmtId="3" fontId="0" fillId="2" borderId="0" xfId="0" applyNumberFormat="1" applyFill="1"/>
    <xf numFmtId="1" fontId="0" fillId="2" borderId="0" xfId="0" applyNumberFormat="1" applyFill="1"/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4" fontId="0" fillId="0" borderId="2" xfId="0" applyNumberFormat="1" applyFill="1" applyBorder="1"/>
    <xf numFmtId="0" fontId="0" fillId="0" borderId="3" xfId="0" applyBorder="1" applyAlignment="1"/>
    <xf numFmtId="3" fontId="0" fillId="2" borderId="2" xfId="0" applyNumberFormat="1" applyFill="1" applyBorder="1"/>
    <xf numFmtId="2" fontId="0" fillId="0" borderId="2" xfId="0" applyNumberFormat="1" applyBorder="1"/>
    <xf numFmtId="0" fontId="0" fillId="0" borderId="2" xfId="0" applyFill="1" applyBorder="1"/>
    <xf numFmtId="3" fontId="6" fillId="3" borderId="2" xfId="0" applyNumberFormat="1" applyFont="1" applyFill="1" applyBorder="1" applyAlignment="1">
      <alignment horizontal="center"/>
    </xf>
    <xf numFmtId="0" fontId="0" fillId="2" borderId="2" xfId="0" applyFill="1" applyBorder="1"/>
    <xf numFmtId="3" fontId="0" fillId="2" borderId="3" xfId="0" applyNumberFormat="1" applyFill="1" applyBorder="1"/>
    <xf numFmtId="0" fontId="0" fillId="5" borderId="2" xfId="0" applyFill="1" applyBorder="1"/>
    <xf numFmtId="3" fontId="0" fillId="5" borderId="2" xfId="0" applyNumberFormat="1" applyFill="1" applyBorder="1"/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4" fontId="0" fillId="5" borderId="2" xfId="0" applyNumberFormat="1" applyFill="1" applyBorder="1"/>
    <xf numFmtId="0" fontId="0" fillId="0" borderId="0" xfId="0" applyFill="1"/>
    <xf numFmtId="0" fontId="5" fillId="4" borderId="6" xfId="0" applyFont="1" applyFill="1" applyBorder="1" applyAlignment="1"/>
    <xf numFmtId="0" fontId="0" fillId="0" borderId="2" xfId="0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3" fillId="5" borderId="2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1" fontId="0" fillId="0" borderId="2" xfId="0" applyNumberFormat="1" applyBorder="1"/>
    <xf numFmtId="0" fontId="0" fillId="0" borderId="2" xfId="0" applyBorder="1"/>
    <xf numFmtId="0" fontId="7" fillId="0" borderId="2" xfId="0" applyFont="1" applyBorder="1"/>
    <xf numFmtId="1" fontId="0" fillId="0" borderId="2" xfId="0" applyNumberFormat="1" applyFill="1" applyBorder="1"/>
    <xf numFmtId="3" fontId="0" fillId="0" borderId="2" xfId="0" applyNumberFormat="1" applyFill="1" applyBorder="1"/>
    <xf numFmtId="4" fontId="0" fillId="0" borderId="2" xfId="0" applyNumberFormat="1" applyBorder="1"/>
    <xf numFmtId="3" fontId="0" fillId="0" borderId="2" xfId="0" applyNumberFormat="1" applyBorder="1"/>
    <xf numFmtId="3" fontId="7" fillId="0" borderId="2" xfId="0" applyNumberFormat="1" applyFont="1" applyBorder="1"/>
    <xf numFmtId="1" fontId="3" fillId="0" borderId="2" xfId="1" applyNumberFormat="1" applyBorder="1" applyAlignment="1">
      <alignment horizontal="right"/>
    </xf>
    <xf numFmtId="166" fontId="0" fillId="0" borderId="2" xfId="0" applyNumberFormat="1" applyBorder="1"/>
    <xf numFmtId="2" fontId="7" fillId="0" borderId="2" xfId="0" applyNumberFormat="1" applyFont="1" applyBorder="1"/>
    <xf numFmtId="167" fontId="0" fillId="5" borderId="2" xfId="0" applyNumberFormat="1" applyFill="1" applyBorder="1"/>
    <xf numFmtId="166" fontId="0" fillId="5" borderId="2" xfId="0" applyNumberFormat="1" applyFill="1" applyBorder="1"/>
    <xf numFmtId="4" fontId="7" fillId="0" borderId="2" xfId="0" applyNumberFormat="1" applyFont="1" applyBorder="1"/>
    <xf numFmtId="1" fontId="7" fillId="2" borderId="2" xfId="1" applyNumberFormat="1" applyFont="1" applyFill="1" applyBorder="1"/>
    <xf numFmtId="2" fontId="7" fillId="0" borderId="2" xfId="0" applyNumberFormat="1" applyFont="1" applyBorder="1" applyAlignment="1">
      <alignment horizontal="right"/>
    </xf>
    <xf numFmtId="0" fontId="3" fillId="0" borderId="2" xfId="1" applyNumberFormat="1" applyBorder="1" applyAlignment="1">
      <alignment horizontal="right"/>
    </xf>
    <xf numFmtId="1" fontId="3" fillId="0" borderId="2" xfId="2" applyNumberFormat="1" applyFont="1" applyBorder="1"/>
    <xf numFmtId="1" fontId="3" fillId="0" borderId="2" xfId="2" applyNumberFormat="1" applyFont="1" applyFill="1" applyBorder="1"/>
    <xf numFmtId="3" fontId="7" fillId="0" borderId="2" xfId="2" applyNumberFormat="1" applyFont="1" applyBorder="1"/>
    <xf numFmtId="3" fontId="3" fillId="0" borderId="2" xfId="2" applyNumberFormat="1" applyFont="1" applyFill="1" applyBorder="1"/>
    <xf numFmtId="3" fontId="7" fillId="0" borderId="3" xfId="0" applyNumberFormat="1" applyFont="1" applyBorder="1"/>
    <xf numFmtId="3" fontId="7" fillId="0" borderId="2" xfId="1" applyNumberFormat="1" applyFont="1" applyFill="1" applyBorder="1" applyAlignment="1">
      <alignment vertical="center"/>
    </xf>
    <xf numFmtId="3" fontId="0" fillId="9" borderId="2" xfId="0" applyNumberFormat="1" applyFill="1" applyBorder="1"/>
    <xf numFmtId="3" fontId="0" fillId="10" borderId="2" xfId="0" applyNumberFormat="1" applyFill="1" applyBorder="1"/>
    <xf numFmtId="3" fontId="3" fillId="5" borderId="2" xfId="2" applyNumberFormat="1" applyFont="1" applyFill="1" applyBorder="1"/>
    <xf numFmtId="2" fontId="3" fillId="0" borderId="2" xfId="2" applyNumberFormat="1" applyFont="1" applyBorder="1"/>
    <xf numFmtId="2" fontId="0" fillId="0" borderId="3" xfId="0" applyNumberFormat="1" applyBorder="1"/>
    <xf numFmtId="0" fontId="3" fillId="0" borderId="2" xfId="2" applyNumberFormat="1" applyFont="1" applyFill="1" applyBorder="1"/>
    <xf numFmtId="1" fontId="3" fillId="2" borderId="2" xfId="1" applyNumberFormat="1" applyFill="1" applyBorder="1" applyAlignment="1"/>
    <xf numFmtId="168" fontId="0" fillId="5" borderId="2" xfId="0" applyNumberFormat="1" applyFill="1" applyBorder="1"/>
    <xf numFmtId="169" fontId="3" fillId="2" borderId="2" xfId="1" applyNumberFormat="1" applyFont="1" applyFill="1" applyBorder="1"/>
    <xf numFmtId="3" fontId="7" fillId="2" borderId="2" xfId="1" applyNumberFormat="1" applyFont="1" applyFill="1" applyBorder="1"/>
    <xf numFmtId="169" fontId="3" fillId="2" borderId="2" xfId="1" applyNumberFormat="1" applyFont="1" applyFill="1" applyBorder="1" applyAlignment="1">
      <alignment horizontal="right"/>
    </xf>
    <xf numFmtId="170" fontId="0" fillId="2" borderId="2" xfId="0" applyNumberFormat="1" applyFill="1" applyBorder="1" applyAlignment="1">
      <alignment horizontal="right"/>
    </xf>
    <xf numFmtId="171" fontId="0" fillId="0" borderId="3" xfId="0" applyNumberFormat="1" applyBorder="1"/>
    <xf numFmtId="172" fontId="3" fillId="0" borderId="2" xfId="2" applyNumberFormat="1" applyFont="1" applyFill="1" applyBorder="1"/>
    <xf numFmtId="173" fontId="0" fillId="0" borderId="2" xfId="0" applyNumberFormat="1" applyBorder="1"/>
    <xf numFmtId="173" fontId="0" fillId="0" borderId="2" xfId="0" applyNumberFormat="1" applyFill="1" applyBorder="1"/>
    <xf numFmtId="1" fontId="7" fillId="0" borderId="2" xfId="2" applyNumberFormat="1" applyFont="1" applyBorder="1"/>
    <xf numFmtId="1" fontId="0" fillId="0" borderId="2" xfId="0" applyNumberFormat="1" applyBorder="1" applyAlignment="1">
      <alignment horizontal="right"/>
    </xf>
    <xf numFmtId="173" fontId="0" fillId="2" borderId="2" xfId="0" applyNumberFormat="1" applyFill="1" applyBorder="1"/>
    <xf numFmtId="171" fontId="0" fillId="0" borderId="2" xfId="0" applyNumberFormat="1" applyBorder="1"/>
    <xf numFmtId="171" fontId="7" fillId="0" borderId="2" xfId="0" applyNumberFormat="1" applyFont="1" applyBorder="1" applyAlignment="1">
      <alignment horizontal="right"/>
    </xf>
    <xf numFmtId="165" fontId="3" fillId="2" borderId="2" xfId="1" applyNumberFormat="1" applyFont="1" applyFill="1" applyBorder="1"/>
    <xf numFmtId="164" fontId="3" fillId="5" borderId="2" xfId="2" applyFont="1" applyFill="1" applyBorder="1"/>
    <xf numFmtId="2" fontId="3" fillId="0" borderId="2" xfId="23" applyNumberFormat="1" applyFont="1" applyBorder="1"/>
    <xf numFmtId="0" fontId="0" fillId="0" borderId="0" xfId="0" applyBorder="1" applyAlignment="1">
      <alignment horizont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24">
    <cellStyle name="Millares" xfId="1" builtinId="3"/>
    <cellStyle name="Millares [0]" xfId="2" builtinId="6"/>
    <cellStyle name="Millares 10" xfId="3" xr:uid="{00000000-0005-0000-0000-000002000000}"/>
    <cellStyle name="Millares 11" xfId="4" xr:uid="{00000000-0005-0000-0000-000003000000}"/>
    <cellStyle name="Millares 2" xfId="5" xr:uid="{00000000-0005-0000-0000-000004000000}"/>
    <cellStyle name="Millares 2 2" xfId="6" xr:uid="{00000000-0005-0000-0000-000005000000}"/>
    <cellStyle name="Millares 3" xfId="7" xr:uid="{00000000-0005-0000-0000-000006000000}"/>
    <cellStyle name="Millares 3 2" xfId="8" xr:uid="{00000000-0005-0000-0000-000007000000}"/>
    <cellStyle name="Millares 4" xfId="9" xr:uid="{00000000-0005-0000-0000-000008000000}"/>
    <cellStyle name="Millares 4 2" xfId="10" xr:uid="{00000000-0005-0000-0000-000009000000}"/>
    <cellStyle name="Millares 5" xfId="11" xr:uid="{00000000-0005-0000-0000-00000A000000}"/>
    <cellStyle name="Millares 5 2" xfId="12" xr:uid="{00000000-0005-0000-0000-00000B000000}"/>
    <cellStyle name="Millares 6" xfId="13" xr:uid="{00000000-0005-0000-0000-00000C000000}"/>
    <cellStyle name="Millares 6 2" xfId="14" xr:uid="{00000000-0005-0000-0000-00000D000000}"/>
    <cellStyle name="Millares 7" xfId="15" xr:uid="{00000000-0005-0000-0000-00000E000000}"/>
    <cellStyle name="Millares 7 2" xfId="16" xr:uid="{00000000-0005-0000-0000-00000F000000}"/>
    <cellStyle name="Millares 8" xfId="17" xr:uid="{00000000-0005-0000-0000-000010000000}"/>
    <cellStyle name="Millares 9" xfId="18" xr:uid="{00000000-0005-0000-0000-000011000000}"/>
    <cellStyle name="Normal" xfId="0" builtinId="0"/>
    <cellStyle name="Normal 2" xfId="19" xr:uid="{00000000-0005-0000-0000-000013000000}"/>
    <cellStyle name="Normal 3" xfId="20" xr:uid="{00000000-0005-0000-0000-000014000000}"/>
    <cellStyle name="Normal 4" xfId="21" xr:uid="{00000000-0005-0000-0000-000015000000}"/>
    <cellStyle name="Normal 9" xfId="22" xr:uid="{00000000-0005-0000-0000-000016000000}"/>
    <cellStyle name="Porcentaje" xfId="2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FE96-5746-4F93-A93E-B606F5969B85}">
  <dimension ref="A1:BD198"/>
  <sheetViews>
    <sheetView topLeftCell="B1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2" t="s">
        <v>1</v>
      </c>
      <c r="D2" s="83"/>
      <c r="E2" s="83"/>
      <c r="F2" s="83"/>
      <c r="G2" s="84"/>
    </row>
    <row r="3" spans="1:7" ht="21" x14ac:dyDescent="0.35">
      <c r="B3" s="1"/>
      <c r="C3" s="7" t="s">
        <v>2</v>
      </c>
      <c r="D3" s="7" t="s">
        <v>3</v>
      </c>
      <c r="E3" s="8" t="s">
        <v>110</v>
      </c>
      <c r="F3" s="7" t="s">
        <v>4</v>
      </c>
      <c r="G3" s="18" t="s">
        <v>5</v>
      </c>
    </row>
    <row r="4" spans="1:7" ht="21" x14ac:dyDescent="0.35">
      <c r="B4" s="85" t="s">
        <v>6</v>
      </c>
      <c r="C4" s="86"/>
      <c r="D4" s="86"/>
      <c r="E4" s="86"/>
      <c r="F4" s="86"/>
      <c r="G4" s="87"/>
    </row>
    <row r="5" spans="1:7" x14ac:dyDescent="0.25">
      <c r="B5" s="88" t="s">
        <v>7</v>
      </c>
      <c r="C5" s="89"/>
      <c r="D5" s="89"/>
      <c r="E5" s="89"/>
      <c r="F5" s="89"/>
      <c r="G5" s="90"/>
    </row>
    <row r="6" spans="1:7" x14ac:dyDescent="0.25">
      <c r="B6" s="6" t="s">
        <v>8</v>
      </c>
      <c r="C6" s="40">
        <v>55341</v>
      </c>
      <c r="D6" s="15">
        <v>8231</v>
      </c>
      <c r="E6" s="20">
        <v>9337</v>
      </c>
      <c r="F6" s="15">
        <v>10682</v>
      </c>
      <c r="G6" s="15">
        <f>+F6+E6+D6+C6</f>
        <v>83591</v>
      </c>
    </row>
    <row r="7" spans="1:7" x14ac:dyDescent="0.25">
      <c r="B7" s="35" t="s">
        <v>9</v>
      </c>
      <c r="C7" s="40">
        <v>530</v>
      </c>
      <c r="D7" s="15">
        <v>231</v>
      </c>
      <c r="E7" s="20">
        <v>11</v>
      </c>
      <c r="F7" s="15">
        <v>128</v>
      </c>
      <c r="G7" s="15">
        <f>+F7+E7+D7+C7</f>
        <v>900</v>
      </c>
    </row>
    <row r="8" spans="1:7" x14ac:dyDescent="0.25">
      <c r="B8" s="21" t="s">
        <v>10</v>
      </c>
      <c r="C8" s="30">
        <v>55871</v>
      </c>
      <c r="D8" s="30">
        <v>8462</v>
      </c>
      <c r="E8" s="30">
        <f>SUM(E6:E7)</f>
        <v>9348</v>
      </c>
      <c r="F8" s="30">
        <v>10810</v>
      </c>
      <c r="G8" s="30">
        <f>+F8+E8+D8+C8</f>
        <v>84491</v>
      </c>
    </row>
    <row r="9" spans="1:7" x14ac:dyDescent="0.25">
      <c r="B9" s="81"/>
      <c r="C9" s="81"/>
      <c r="D9" s="81"/>
      <c r="E9" s="81"/>
      <c r="F9" s="81"/>
      <c r="G9" s="81"/>
    </row>
    <row r="10" spans="1:7" x14ac:dyDescent="0.25">
      <c r="B10" s="88" t="s">
        <v>11</v>
      </c>
      <c r="C10" s="89"/>
      <c r="D10" s="89"/>
      <c r="E10" s="89"/>
      <c r="F10" s="89"/>
      <c r="G10" s="90"/>
    </row>
    <row r="11" spans="1:7" x14ac:dyDescent="0.25">
      <c r="B11" s="91" t="s">
        <v>12</v>
      </c>
      <c r="C11" s="92"/>
      <c r="D11" s="92"/>
      <c r="E11" s="92"/>
      <c r="F11" s="92"/>
      <c r="G11" s="93"/>
    </row>
    <row r="12" spans="1:7" x14ac:dyDescent="0.25">
      <c r="B12" s="19" t="s">
        <v>13</v>
      </c>
      <c r="C12" s="15">
        <v>929174</v>
      </c>
      <c r="D12" s="58">
        <v>146416</v>
      </c>
      <c r="E12" s="15">
        <v>54454</v>
      </c>
      <c r="F12" s="20">
        <v>0</v>
      </c>
      <c r="G12" s="20">
        <f>SUM(C12:F12)</f>
        <v>1130044</v>
      </c>
    </row>
    <row r="13" spans="1:7" x14ac:dyDescent="0.25">
      <c r="B13" s="19" t="s">
        <v>14</v>
      </c>
      <c r="C13" s="15">
        <v>2127394</v>
      </c>
      <c r="D13" s="58">
        <v>523656</v>
      </c>
      <c r="E13" s="15">
        <v>203542</v>
      </c>
      <c r="F13" s="20">
        <v>0</v>
      </c>
      <c r="G13" s="20">
        <f>SUM(C13:F13)</f>
        <v>2854592</v>
      </c>
    </row>
    <row r="14" spans="1:7" x14ac:dyDescent="0.25">
      <c r="B14" s="21" t="s">
        <v>15</v>
      </c>
      <c r="C14" s="59">
        <f>C13+C12</f>
        <v>3056568</v>
      </c>
      <c r="D14" s="22">
        <v>896292</v>
      </c>
      <c r="E14" s="22">
        <f>SUM(E12:E13)</f>
        <v>257996</v>
      </c>
      <c r="F14" s="22">
        <v>352605</v>
      </c>
      <c r="G14" s="22">
        <f>SUM(C14:F14)</f>
        <v>4563461</v>
      </c>
    </row>
    <row r="15" spans="1:7" x14ac:dyDescent="0.25">
      <c r="B15" s="21" t="s">
        <v>16</v>
      </c>
      <c r="C15" s="59">
        <v>400270</v>
      </c>
      <c r="D15" s="22">
        <v>141787</v>
      </c>
      <c r="E15" s="22">
        <v>2846</v>
      </c>
      <c r="F15" s="22">
        <v>82348</v>
      </c>
      <c r="G15" s="22">
        <f>SUM(C15:F15)</f>
        <v>627251</v>
      </c>
    </row>
    <row r="16" spans="1:7" x14ac:dyDescent="0.25">
      <c r="B16" s="21" t="s">
        <v>17</v>
      </c>
      <c r="C16" s="59">
        <f>C15+C14</f>
        <v>3456838</v>
      </c>
      <c r="D16" s="22">
        <v>1038079</v>
      </c>
      <c r="E16" s="22">
        <f>SUM(E14:E15)</f>
        <v>260842</v>
      </c>
      <c r="F16" s="22">
        <v>434953</v>
      </c>
      <c r="G16" s="22">
        <f>SUM(C16:F16)</f>
        <v>5190712</v>
      </c>
    </row>
    <row r="17" spans="2:8" x14ac:dyDescent="0.25">
      <c r="B17" s="81"/>
      <c r="C17" s="81"/>
      <c r="D17" s="81"/>
      <c r="E17" s="81"/>
      <c r="F17" s="81"/>
      <c r="G17" s="81"/>
    </row>
    <row r="18" spans="2:8" x14ac:dyDescent="0.25">
      <c r="B18" s="91" t="s">
        <v>18</v>
      </c>
      <c r="C18" s="92"/>
      <c r="D18" s="92"/>
      <c r="E18" s="92"/>
      <c r="F18" s="92"/>
      <c r="G18" s="93"/>
    </row>
    <row r="19" spans="2:8" x14ac:dyDescent="0.25">
      <c r="B19" s="17" t="s">
        <v>19</v>
      </c>
      <c r="C19" s="62">
        <v>3675</v>
      </c>
      <c r="D19" s="40">
        <v>2571</v>
      </c>
      <c r="E19" s="28">
        <v>0</v>
      </c>
      <c r="F19" s="28">
        <v>0</v>
      </c>
      <c r="G19" s="28">
        <f>SUM(C19:F19)</f>
        <v>6246</v>
      </c>
    </row>
    <row r="20" spans="2:8" x14ac:dyDescent="0.25">
      <c r="B20" s="94"/>
      <c r="C20" s="94"/>
      <c r="D20" s="94"/>
      <c r="E20" s="94"/>
      <c r="F20" s="94"/>
      <c r="G20" s="94"/>
    </row>
    <row r="21" spans="2:8" x14ac:dyDescent="0.25">
      <c r="B21" s="21" t="s">
        <v>20</v>
      </c>
      <c r="C21" s="22">
        <v>3460513</v>
      </c>
      <c r="D21" s="22">
        <v>1040650</v>
      </c>
      <c r="E21" s="22">
        <f>+E19+E16</f>
        <v>260842</v>
      </c>
      <c r="F21" s="22">
        <v>434953</v>
      </c>
      <c r="G21" s="22">
        <f>SUM(C21:F21)</f>
        <v>5196958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21</v>
      </c>
      <c r="C23" s="11"/>
      <c r="D23" s="11"/>
      <c r="E23" s="11"/>
      <c r="F23" s="11"/>
      <c r="G23" s="12"/>
    </row>
    <row r="24" spans="2:8" x14ac:dyDescent="0.25">
      <c r="B24" s="21" t="s">
        <v>22</v>
      </c>
      <c r="C24" s="46">
        <v>409867</v>
      </c>
      <c r="D24" s="22">
        <v>222479</v>
      </c>
      <c r="E24" s="22">
        <v>135976</v>
      </c>
      <c r="F24" s="22">
        <v>667741</v>
      </c>
      <c r="G24" s="22">
        <f>SUM(C24:F24)</f>
        <v>1436063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23</v>
      </c>
      <c r="C26" s="11"/>
      <c r="D26" s="11"/>
      <c r="E26" s="11"/>
      <c r="F26" s="11"/>
      <c r="G26" s="12"/>
    </row>
    <row r="27" spans="2:8" x14ac:dyDescent="0.25">
      <c r="B27" s="21" t="s">
        <v>24</v>
      </c>
      <c r="C27" s="46">
        <v>3870380</v>
      </c>
      <c r="D27" s="22">
        <v>1263129</v>
      </c>
      <c r="E27" s="22">
        <f>+E21+E24</f>
        <v>396818</v>
      </c>
      <c r="F27" s="22">
        <f>+F24+F21</f>
        <v>1102694</v>
      </c>
      <c r="G27" s="22">
        <f>SUM(C27:F27)</f>
        <v>6633021</v>
      </c>
    </row>
    <row r="28" spans="2:8" x14ac:dyDescent="0.25">
      <c r="B28" s="81"/>
      <c r="C28" s="81"/>
      <c r="D28" s="81"/>
      <c r="E28" s="81"/>
      <c r="F28" s="81"/>
      <c r="G28" s="81"/>
      <c r="H28" s="81"/>
    </row>
    <row r="29" spans="2:8" x14ac:dyDescent="0.25">
      <c r="B29" s="88" t="s">
        <v>25</v>
      </c>
      <c r="C29" s="89"/>
      <c r="D29" s="89"/>
      <c r="E29" s="89"/>
      <c r="F29" s="89"/>
      <c r="G29" s="90"/>
    </row>
    <row r="30" spans="2:8" x14ac:dyDescent="0.25">
      <c r="B30" s="35" t="s">
        <v>26</v>
      </c>
      <c r="C30" s="43">
        <v>1299916</v>
      </c>
      <c r="D30" s="40">
        <v>238558</v>
      </c>
      <c r="E30" s="40">
        <v>127570</v>
      </c>
      <c r="F30" s="40">
        <v>249168</v>
      </c>
      <c r="G30" s="40">
        <f>SUM(C30:F30)</f>
        <v>1915212</v>
      </c>
    </row>
    <row r="31" spans="2:8" x14ac:dyDescent="0.25">
      <c r="B31" s="81"/>
      <c r="C31" s="81"/>
      <c r="D31" s="81"/>
      <c r="E31" s="81"/>
      <c r="F31" s="81"/>
      <c r="G31" s="81"/>
      <c r="H31" s="81"/>
    </row>
    <row r="32" spans="2:8" x14ac:dyDescent="0.25">
      <c r="B32" s="88" t="s">
        <v>27</v>
      </c>
      <c r="C32" s="89"/>
      <c r="D32" s="89"/>
      <c r="E32" s="89"/>
      <c r="F32" s="89"/>
      <c r="G32" s="90"/>
    </row>
    <row r="33" spans="1:9" x14ac:dyDescent="0.25">
      <c r="B33" s="35" t="s">
        <v>28</v>
      </c>
      <c r="C33" s="40">
        <v>2947526585623</v>
      </c>
      <c r="D33" s="40">
        <v>543395072801</v>
      </c>
      <c r="E33" s="40">
        <v>222268557270</v>
      </c>
      <c r="F33" s="40">
        <v>296445276832</v>
      </c>
      <c r="G33" s="40">
        <f>SUM(C33:F33)</f>
        <v>4009635492526</v>
      </c>
    </row>
    <row r="34" spans="1:9" x14ac:dyDescent="0.25">
      <c r="B34" s="35" t="s">
        <v>29</v>
      </c>
      <c r="C34" s="40">
        <v>122902769203</v>
      </c>
      <c r="D34" s="40">
        <v>55201931615</v>
      </c>
      <c r="E34" s="40">
        <v>30102682300</v>
      </c>
      <c r="F34" s="40">
        <v>121285464275</v>
      </c>
      <c r="G34" s="40">
        <f>SUM(C34:F34)</f>
        <v>329492847393</v>
      </c>
    </row>
    <row r="35" spans="1:9" x14ac:dyDescent="0.25">
      <c r="B35" s="21" t="s">
        <v>30</v>
      </c>
      <c r="C35" s="22">
        <v>3070429354826</v>
      </c>
      <c r="D35" s="22">
        <v>598597004416</v>
      </c>
      <c r="E35" s="22">
        <v>252371239570</v>
      </c>
      <c r="F35" s="22">
        <v>417730741107</v>
      </c>
      <c r="G35" s="22">
        <f>SUM(C35:F35)</f>
        <v>4339128339919</v>
      </c>
    </row>
    <row r="36" spans="1:9" x14ac:dyDescent="0.25">
      <c r="B36" s="81"/>
      <c r="C36" s="81"/>
      <c r="D36" s="81"/>
      <c r="E36" s="81"/>
      <c r="F36" s="81"/>
      <c r="G36" s="81"/>
      <c r="H36" s="81"/>
    </row>
    <row r="37" spans="1:9" ht="21" x14ac:dyDescent="0.35">
      <c r="B37" s="85" t="s">
        <v>31</v>
      </c>
      <c r="C37" s="86"/>
      <c r="D37" s="86"/>
      <c r="E37" s="86"/>
      <c r="F37" s="86"/>
      <c r="G37" s="87"/>
    </row>
    <row r="38" spans="1:9" x14ac:dyDescent="0.25">
      <c r="B38" s="88" t="s">
        <v>32</v>
      </c>
      <c r="C38" s="89"/>
      <c r="D38" s="89"/>
      <c r="E38" s="89"/>
      <c r="F38" s="89"/>
      <c r="G38" s="90"/>
    </row>
    <row r="39" spans="1:9" x14ac:dyDescent="0.25">
      <c r="B39" s="35" t="s">
        <v>33</v>
      </c>
      <c r="C39" s="40">
        <v>668068</v>
      </c>
      <c r="D39" s="38">
        <v>145620</v>
      </c>
      <c r="E39" s="41">
        <v>86435</v>
      </c>
      <c r="F39" s="40">
        <v>103684</v>
      </c>
      <c r="G39" s="38">
        <f>SUM(C39:F39)</f>
        <v>1003807</v>
      </c>
      <c r="H39" s="9"/>
      <c r="I39" s="9"/>
    </row>
    <row r="40" spans="1:9" x14ac:dyDescent="0.25">
      <c r="B40" s="35" t="s">
        <v>34</v>
      </c>
      <c r="C40" s="40">
        <f>2820962496/1000000</f>
        <v>2820.9624960000001</v>
      </c>
      <c r="D40" s="38">
        <v>839.10682399999996</v>
      </c>
      <c r="E40" s="41">
        <v>302</v>
      </c>
      <c r="F40" s="15">
        <v>365.26217800000001</v>
      </c>
      <c r="G40" s="13">
        <f>SUM(C40:F40)</f>
        <v>4327.3314980000005</v>
      </c>
      <c r="H40" s="9"/>
      <c r="I40" s="9"/>
    </row>
    <row r="41" spans="1:9" x14ac:dyDescent="0.25">
      <c r="A41" s="4"/>
      <c r="B41" s="81"/>
      <c r="C41" s="81"/>
      <c r="D41" s="81"/>
      <c r="E41" s="81"/>
      <c r="F41" s="81"/>
      <c r="G41" s="81"/>
      <c r="H41" s="81"/>
      <c r="I41" s="9"/>
    </row>
    <row r="42" spans="1:9" x14ac:dyDescent="0.25">
      <c r="B42" s="95" t="s">
        <v>35</v>
      </c>
      <c r="C42" s="95"/>
      <c r="D42" s="95"/>
      <c r="E42" s="95"/>
      <c r="F42" s="95"/>
      <c r="G42" s="95"/>
      <c r="I42" s="9"/>
    </row>
    <row r="43" spans="1:9" x14ac:dyDescent="0.25">
      <c r="B43" s="35" t="s">
        <v>36</v>
      </c>
      <c r="C43" s="40">
        <v>55</v>
      </c>
      <c r="D43" s="40">
        <v>18</v>
      </c>
      <c r="E43" s="41">
        <v>7</v>
      </c>
      <c r="F43" s="38">
        <v>5</v>
      </c>
      <c r="G43" s="38">
        <f>SUM(C43:F43)</f>
        <v>85</v>
      </c>
      <c r="H43" s="9"/>
      <c r="I43" s="9"/>
    </row>
    <row r="44" spans="1:9" x14ac:dyDescent="0.25">
      <c r="B44" s="35" t="s">
        <v>37</v>
      </c>
      <c r="C44" s="39">
        <f>5059815/1000000</f>
        <v>5.0598150000000004</v>
      </c>
      <c r="D44" s="16">
        <v>0.43253900000000001</v>
      </c>
      <c r="E44" s="47">
        <v>0.1</v>
      </c>
      <c r="F44" s="13">
        <v>0.121561</v>
      </c>
      <c r="G44" s="13">
        <f>SUM(C44:F44)</f>
        <v>5.7139150000000001</v>
      </c>
      <c r="H44" s="9"/>
      <c r="I44" s="9"/>
    </row>
    <row r="45" spans="1:9" x14ac:dyDescent="0.25">
      <c r="A45" s="4"/>
      <c r="B45" s="81"/>
      <c r="C45" s="81"/>
      <c r="D45" s="81"/>
      <c r="E45" s="81"/>
      <c r="F45" s="81"/>
      <c r="G45" s="81"/>
      <c r="H45" s="81"/>
      <c r="I45" s="9"/>
    </row>
    <row r="46" spans="1:9" x14ac:dyDescent="0.25">
      <c r="B46" s="95" t="s">
        <v>38</v>
      </c>
      <c r="C46" s="95"/>
      <c r="D46" s="95"/>
      <c r="E46" s="95"/>
      <c r="F46" s="95"/>
      <c r="G46" s="95"/>
      <c r="I46" s="9"/>
    </row>
    <row r="47" spans="1:9" x14ac:dyDescent="0.25">
      <c r="B47" s="35" t="s">
        <v>39</v>
      </c>
      <c r="C47" s="40">
        <v>104138</v>
      </c>
      <c r="D47" s="40">
        <v>65269</v>
      </c>
      <c r="E47" s="41">
        <v>10263</v>
      </c>
      <c r="F47" s="40">
        <v>52412</v>
      </c>
      <c r="G47" s="40">
        <f>SUM(C47:F47)</f>
        <v>232082</v>
      </c>
      <c r="H47" s="9"/>
      <c r="I47" s="9"/>
    </row>
    <row r="48" spans="1:9" x14ac:dyDescent="0.25">
      <c r="B48" s="35" t="s">
        <v>40</v>
      </c>
      <c r="C48" s="38">
        <v>50176.693112000001</v>
      </c>
      <c r="D48" s="40">
        <v>18571.959942000001</v>
      </c>
      <c r="E48" s="41">
        <v>6963.0564119999999</v>
      </c>
      <c r="F48" s="15">
        <v>7141.1429079999998</v>
      </c>
      <c r="G48" s="13">
        <f>SUM(C48:F48)</f>
        <v>82852.852373999995</v>
      </c>
      <c r="H48" s="9"/>
      <c r="I48" s="9"/>
    </row>
    <row r="49" spans="1:8" x14ac:dyDescent="0.25">
      <c r="A49" s="4"/>
      <c r="B49" s="81"/>
      <c r="C49" s="81"/>
      <c r="D49" s="81"/>
      <c r="E49" s="81"/>
      <c r="F49" s="81"/>
      <c r="G49" s="81"/>
      <c r="H49" s="81"/>
    </row>
    <row r="50" spans="1:8" ht="21" x14ac:dyDescent="0.35">
      <c r="B50" s="85" t="s">
        <v>41</v>
      </c>
      <c r="C50" s="86"/>
      <c r="D50" s="86"/>
      <c r="E50" s="86"/>
      <c r="F50" s="86"/>
      <c r="G50" s="87"/>
    </row>
    <row r="51" spans="1:8" x14ac:dyDescent="0.25">
      <c r="A51" s="4"/>
      <c r="B51" s="96"/>
      <c r="C51" s="96"/>
      <c r="D51" s="96"/>
      <c r="E51" s="96"/>
      <c r="F51" s="96"/>
      <c r="G51" s="96"/>
      <c r="H51" s="96"/>
    </row>
    <row r="52" spans="1:8" x14ac:dyDescent="0.25">
      <c r="B52" s="95" t="s">
        <v>42</v>
      </c>
      <c r="C52" s="95"/>
      <c r="D52" s="95"/>
      <c r="E52" s="95"/>
      <c r="F52" s="95"/>
      <c r="G52" s="95"/>
    </row>
    <row r="53" spans="1:8" x14ac:dyDescent="0.25">
      <c r="B53" s="97" t="s">
        <v>43</v>
      </c>
      <c r="C53" s="97"/>
      <c r="D53" s="97"/>
      <c r="E53" s="97"/>
      <c r="F53" s="97"/>
      <c r="G53" s="97"/>
    </row>
    <row r="54" spans="1:8" x14ac:dyDescent="0.25">
      <c r="B54" s="35" t="s">
        <v>44</v>
      </c>
      <c r="C54" s="40">
        <v>56462</v>
      </c>
      <c r="D54" s="40">
        <v>1852</v>
      </c>
      <c r="E54" s="41">
        <v>1224</v>
      </c>
      <c r="F54" s="40">
        <v>1680</v>
      </c>
      <c r="G54" s="40">
        <f t="shared" ref="G54:G70" si="0">SUM(C54:F54)</f>
        <v>61218</v>
      </c>
    </row>
    <row r="55" spans="1:8" x14ac:dyDescent="0.25">
      <c r="B55" s="35" t="s">
        <v>45</v>
      </c>
      <c r="C55" s="40">
        <v>42509.655615999996</v>
      </c>
      <c r="D55" s="40">
        <v>2986</v>
      </c>
      <c r="E55" s="41">
        <v>3433.1103170000001</v>
      </c>
      <c r="F55" s="40">
        <v>5093</v>
      </c>
      <c r="G55" s="40">
        <f t="shared" si="0"/>
        <v>54021.765932999995</v>
      </c>
    </row>
    <row r="56" spans="1:8" x14ac:dyDescent="0.25">
      <c r="B56" s="35" t="s">
        <v>46</v>
      </c>
      <c r="C56" s="40">
        <v>13.427402500796999</v>
      </c>
      <c r="D56" s="40">
        <v>41.441018214350152</v>
      </c>
      <c r="E56" s="55">
        <v>35</v>
      </c>
      <c r="F56" s="40">
        <v>34</v>
      </c>
      <c r="G56" s="40">
        <f>AVERAGE(C56:F56)</f>
        <v>30.967105178786788</v>
      </c>
    </row>
    <row r="57" spans="1:8" x14ac:dyDescent="0.25">
      <c r="B57" s="35" t="s">
        <v>47</v>
      </c>
      <c r="C57" s="40">
        <v>837893</v>
      </c>
      <c r="D57" s="40">
        <v>164212</v>
      </c>
      <c r="E57" s="41">
        <v>52078</v>
      </c>
      <c r="F57" s="40">
        <v>78018</v>
      </c>
      <c r="G57" s="40">
        <f t="shared" si="0"/>
        <v>1132201</v>
      </c>
    </row>
    <row r="58" spans="1:8" x14ac:dyDescent="0.25">
      <c r="B58" s="35" t="s">
        <v>48</v>
      </c>
      <c r="C58" s="40">
        <v>1374216.2971010001</v>
      </c>
      <c r="D58" s="40">
        <v>292518.162228</v>
      </c>
      <c r="E58" s="56">
        <v>87542.565096999999</v>
      </c>
      <c r="F58" s="40">
        <v>138494</v>
      </c>
      <c r="G58" s="13">
        <f t="shared" si="0"/>
        <v>1892771.0244260002</v>
      </c>
    </row>
    <row r="59" spans="1:8" x14ac:dyDescent="0.25">
      <c r="B59" s="98" t="s">
        <v>49</v>
      </c>
      <c r="C59" s="98"/>
      <c r="D59" s="98"/>
      <c r="E59" s="98"/>
      <c r="F59" s="98"/>
      <c r="G59" s="98"/>
    </row>
    <row r="60" spans="1:8" x14ac:dyDescent="0.25">
      <c r="B60" s="35" t="s">
        <v>44</v>
      </c>
      <c r="C60" s="23">
        <v>0</v>
      </c>
      <c r="D60" s="17">
        <v>0</v>
      </c>
      <c r="E60" s="17">
        <v>0</v>
      </c>
      <c r="F60" s="23">
        <v>0</v>
      </c>
      <c r="G60" s="40">
        <f t="shared" si="0"/>
        <v>0</v>
      </c>
    </row>
    <row r="61" spans="1:8" x14ac:dyDescent="0.25">
      <c r="B61" s="35" t="s">
        <v>45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5" t="s">
        <v>46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5" t="s">
        <v>47</v>
      </c>
      <c r="C63" s="23">
        <v>0</v>
      </c>
      <c r="D63" s="38">
        <v>0</v>
      </c>
      <c r="E63" s="38">
        <v>0</v>
      </c>
      <c r="F63" s="23">
        <v>0</v>
      </c>
      <c r="G63" s="40">
        <f t="shared" si="0"/>
        <v>0</v>
      </c>
    </row>
    <row r="64" spans="1:8" x14ac:dyDescent="0.25">
      <c r="B64" s="35" t="s">
        <v>48</v>
      </c>
      <c r="C64" s="23">
        <v>0</v>
      </c>
      <c r="D64" s="38">
        <v>0</v>
      </c>
      <c r="E64" s="38">
        <v>0</v>
      </c>
      <c r="F64" s="23">
        <v>0</v>
      </c>
      <c r="G64" s="39">
        <f t="shared" si="0"/>
        <v>0</v>
      </c>
    </row>
    <row r="65" spans="1:8" x14ac:dyDescent="0.25">
      <c r="B65" s="97" t="s">
        <v>50</v>
      </c>
      <c r="C65" s="97"/>
      <c r="D65" s="97"/>
      <c r="E65" s="97"/>
      <c r="F65" s="97"/>
      <c r="G65" s="97"/>
    </row>
    <row r="66" spans="1:8" x14ac:dyDescent="0.25">
      <c r="B66" s="35" t="s">
        <v>44</v>
      </c>
      <c r="C66" s="40">
        <v>2824</v>
      </c>
      <c r="D66" s="40">
        <v>651</v>
      </c>
      <c r="E66" s="41">
        <v>2082</v>
      </c>
      <c r="F66" s="38">
        <v>7063</v>
      </c>
      <c r="G66" s="38">
        <f t="shared" si="0"/>
        <v>12620</v>
      </c>
    </row>
    <row r="67" spans="1:8" x14ac:dyDescent="0.25">
      <c r="B67" s="35" t="s">
        <v>45</v>
      </c>
      <c r="C67" s="40">
        <v>1948.662392</v>
      </c>
      <c r="D67" s="40">
        <v>683</v>
      </c>
      <c r="E67" s="41">
        <v>3891.6159259999999</v>
      </c>
      <c r="F67" s="38">
        <v>8204</v>
      </c>
      <c r="G67" s="38">
        <f t="shared" si="0"/>
        <v>14727.278318000001</v>
      </c>
    </row>
    <row r="68" spans="1:8" x14ac:dyDescent="0.25">
      <c r="B68" s="35" t="s">
        <v>46</v>
      </c>
      <c r="C68" s="40">
        <v>38.103399433427803</v>
      </c>
      <c r="D68" s="40">
        <v>55.441783326447926</v>
      </c>
      <c r="E68" s="41">
        <v>55</v>
      </c>
      <c r="F68" s="38">
        <v>44</v>
      </c>
      <c r="G68" s="38">
        <f>AVERAGE(C68:F68)</f>
        <v>48.136295689968932</v>
      </c>
    </row>
    <row r="69" spans="1:8" x14ac:dyDescent="0.25">
      <c r="B69" s="35" t="s">
        <v>47</v>
      </c>
      <c r="C69" s="40">
        <v>120844</v>
      </c>
      <c r="D69" s="40">
        <v>92005</v>
      </c>
      <c r="E69" s="41">
        <v>58543</v>
      </c>
      <c r="F69" s="38">
        <v>258308</v>
      </c>
      <c r="G69" s="38">
        <f t="shared" si="0"/>
        <v>529700</v>
      </c>
    </row>
    <row r="70" spans="1:8" x14ac:dyDescent="0.25">
      <c r="B70" s="35" t="s">
        <v>48</v>
      </c>
      <c r="C70" s="40">
        <v>89792.147788999995</v>
      </c>
      <c r="D70" s="40">
        <v>79111.687474000006</v>
      </c>
      <c r="E70" s="41">
        <v>48462.710914000003</v>
      </c>
      <c r="F70" s="38">
        <v>174067</v>
      </c>
      <c r="G70" s="39">
        <f t="shared" si="0"/>
        <v>391433.54617699998</v>
      </c>
    </row>
    <row r="71" spans="1:8" x14ac:dyDescent="0.25">
      <c r="B71" s="99" t="s">
        <v>51</v>
      </c>
      <c r="C71" s="100"/>
      <c r="D71" s="100"/>
      <c r="E71" s="100"/>
      <c r="F71" s="100"/>
      <c r="G71" s="101"/>
    </row>
    <row r="72" spans="1:8" x14ac:dyDescent="0.25">
      <c r="B72" s="21" t="s">
        <v>111</v>
      </c>
      <c r="C72" s="22">
        <v>59286</v>
      </c>
      <c r="D72" s="22">
        <v>4616</v>
      </c>
      <c r="E72" s="22">
        <f t="shared" ref="E72:E73" si="1">+E66+E60+E54</f>
        <v>3306</v>
      </c>
      <c r="F72" s="22">
        <v>8743</v>
      </c>
      <c r="G72" s="22">
        <f>SUM(C72:F72)</f>
        <v>75951</v>
      </c>
    </row>
    <row r="73" spans="1:8" x14ac:dyDescent="0.25">
      <c r="B73" s="21" t="s">
        <v>112</v>
      </c>
      <c r="C73" s="22">
        <v>44458.318007999995</v>
      </c>
      <c r="D73" s="22">
        <v>8768.0550000000003</v>
      </c>
      <c r="E73" s="22">
        <f t="shared" si="1"/>
        <v>7324.7262430000001</v>
      </c>
      <c r="F73" s="22">
        <v>13297</v>
      </c>
      <c r="G73" s="25">
        <f>SUM(C73:F73)</f>
        <v>73848.099250999992</v>
      </c>
    </row>
    <row r="74" spans="1:8" x14ac:dyDescent="0.25">
      <c r="B74" s="21" t="s">
        <v>46</v>
      </c>
      <c r="C74" s="22">
        <v>14.602806733461501</v>
      </c>
      <c r="D74" s="22">
        <v>32.294267180266026</v>
      </c>
      <c r="E74" s="22">
        <v>47</v>
      </c>
      <c r="F74" s="22">
        <v>39</v>
      </c>
      <c r="G74" s="22">
        <f>AVERAGE(C74:F74)</f>
        <v>33.224268478431881</v>
      </c>
    </row>
    <row r="75" spans="1:8" x14ac:dyDescent="0.25">
      <c r="B75" s="21" t="s">
        <v>47</v>
      </c>
      <c r="C75" s="22">
        <v>958737</v>
      </c>
      <c r="D75" s="22">
        <v>256217</v>
      </c>
      <c r="E75" s="22">
        <f t="shared" ref="E75:E76" si="2">+E69+E63+E57</f>
        <v>110621</v>
      </c>
      <c r="F75" s="22">
        <v>336326</v>
      </c>
      <c r="G75" s="22">
        <f>SUM(C75:F75)</f>
        <v>1661901</v>
      </c>
    </row>
    <row r="76" spans="1:8" x14ac:dyDescent="0.25">
      <c r="B76" s="21" t="s">
        <v>48</v>
      </c>
      <c r="C76" s="22">
        <v>1464008.4448900002</v>
      </c>
      <c r="D76" s="22">
        <v>371629.84970200004</v>
      </c>
      <c r="E76" s="22">
        <f t="shared" si="2"/>
        <v>136005.27601100001</v>
      </c>
      <c r="F76" s="22">
        <v>312561</v>
      </c>
      <c r="G76" s="25">
        <f>SUM(C76:F76)</f>
        <v>2284204.570603</v>
      </c>
    </row>
    <row r="77" spans="1:8" x14ac:dyDescent="0.25">
      <c r="A77" s="4"/>
      <c r="B77" s="81"/>
      <c r="C77" s="81"/>
      <c r="D77" s="81"/>
      <c r="E77" s="81"/>
      <c r="F77" s="81"/>
      <c r="G77" s="81"/>
      <c r="H77" s="81"/>
    </row>
    <row r="78" spans="1:8" x14ac:dyDescent="0.25">
      <c r="B78" s="88" t="s">
        <v>52</v>
      </c>
      <c r="C78" s="89"/>
      <c r="D78" s="89"/>
      <c r="E78" s="89"/>
      <c r="F78" s="89"/>
      <c r="G78" s="90"/>
    </row>
    <row r="79" spans="1:8" x14ac:dyDescent="0.25">
      <c r="B79" s="102" t="s">
        <v>43</v>
      </c>
      <c r="C79" s="103"/>
      <c r="D79" s="103"/>
      <c r="E79" s="103"/>
      <c r="F79" s="103"/>
      <c r="G79" s="104"/>
    </row>
    <row r="80" spans="1:8" x14ac:dyDescent="0.25">
      <c r="B80" s="35" t="s">
        <v>44</v>
      </c>
      <c r="C80" s="29">
        <v>0</v>
      </c>
      <c r="D80" s="23">
        <v>0</v>
      </c>
      <c r="E80" s="35">
        <v>0</v>
      </c>
      <c r="F80" s="23">
        <v>0</v>
      </c>
      <c r="G80" s="23">
        <f>SUM(C80:F80)</f>
        <v>0</v>
      </c>
    </row>
    <row r="81" spans="2:7" x14ac:dyDescent="0.25">
      <c r="B81" s="35" t="s">
        <v>45</v>
      </c>
      <c r="C81" s="29">
        <v>0</v>
      </c>
      <c r="D81" s="23">
        <v>0</v>
      </c>
      <c r="E81" s="35">
        <v>0</v>
      </c>
      <c r="F81" s="29">
        <v>0</v>
      </c>
      <c r="G81" s="29">
        <f>SUM(C81:F81)</f>
        <v>0</v>
      </c>
    </row>
    <row r="82" spans="2:7" x14ac:dyDescent="0.25">
      <c r="B82" s="35" t="s">
        <v>46</v>
      </c>
      <c r="C82" s="29">
        <v>0</v>
      </c>
      <c r="D82" s="23">
        <v>0</v>
      </c>
      <c r="E82" s="35">
        <v>0</v>
      </c>
      <c r="F82" s="29">
        <v>0</v>
      </c>
      <c r="G82" s="29">
        <f>AVERAGE(C82:F82)</f>
        <v>0</v>
      </c>
    </row>
    <row r="83" spans="2:7" x14ac:dyDescent="0.25">
      <c r="B83" s="35" t="s">
        <v>47</v>
      </c>
      <c r="C83" s="29">
        <v>1099</v>
      </c>
      <c r="D83" s="35">
        <v>136</v>
      </c>
      <c r="E83" s="48">
        <v>6</v>
      </c>
      <c r="F83" s="29">
        <v>117</v>
      </c>
      <c r="G83" s="29">
        <f>SUM(C83:F83)</f>
        <v>1358</v>
      </c>
    </row>
    <row r="84" spans="2:7" x14ac:dyDescent="0.25">
      <c r="B84" s="35" t="s">
        <v>48</v>
      </c>
      <c r="C84" s="54">
        <v>21577.397118000001</v>
      </c>
      <c r="D84" s="29">
        <v>1551</v>
      </c>
      <c r="E84" s="48">
        <v>74</v>
      </c>
      <c r="F84" s="40">
        <v>1973.514539</v>
      </c>
      <c r="G84" s="13">
        <f>SUM(C84:F84)</f>
        <v>25175.911657000001</v>
      </c>
    </row>
    <row r="85" spans="2:7" x14ac:dyDescent="0.25">
      <c r="B85" s="102" t="s">
        <v>49</v>
      </c>
      <c r="C85" s="103"/>
      <c r="D85" s="103"/>
      <c r="E85" s="103"/>
      <c r="F85" s="103"/>
      <c r="G85" s="104"/>
    </row>
    <row r="86" spans="2:7" x14ac:dyDescent="0.25">
      <c r="B86" s="35" t="s">
        <v>44</v>
      </c>
      <c r="C86" s="23">
        <v>0</v>
      </c>
      <c r="D86" s="35">
        <v>0</v>
      </c>
      <c r="E86" s="23">
        <v>0</v>
      </c>
      <c r="F86" s="29">
        <v>0</v>
      </c>
      <c r="G86" s="38">
        <f>SUM(C86:F86)</f>
        <v>0</v>
      </c>
    </row>
    <row r="87" spans="2:7" x14ac:dyDescent="0.25">
      <c r="B87" s="35" t="s">
        <v>45</v>
      </c>
      <c r="C87" s="23">
        <v>0</v>
      </c>
      <c r="D87" s="35">
        <v>0</v>
      </c>
      <c r="E87" s="23">
        <v>0</v>
      </c>
      <c r="F87" s="29">
        <v>0</v>
      </c>
      <c r="G87" s="38">
        <f>SUM(C87:F87)</f>
        <v>0</v>
      </c>
    </row>
    <row r="88" spans="2:7" x14ac:dyDescent="0.25">
      <c r="B88" s="35" t="s">
        <v>46</v>
      </c>
      <c r="C88" s="23">
        <v>0</v>
      </c>
      <c r="D88" s="35">
        <v>0</v>
      </c>
      <c r="E88" s="23">
        <v>0</v>
      </c>
      <c r="F88" s="29">
        <v>0</v>
      </c>
      <c r="G88" s="38">
        <f>AVERAGE(C88:F88)</f>
        <v>0</v>
      </c>
    </row>
    <row r="89" spans="2:7" x14ac:dyDescent="0.25">
      <c r="B89" s="35" t="s">
        <v>47</v>
      </c>
      <c r="C89" s="23">
        <v>0</v>
      </c>
      <c r="D89" s="35">
        <v>0</v>
      </c>
      <c r="E89" s="23">
        <v>0</v>
      </c>
      <c r="F89" s="29">
        <v>0</v>
      </c>
      <c r="G89" s="38">
        <f>SUM(C89:F89)</f>
        <v>0</v>
      </c>
    </row>
    <row r="90" spans="2:7" x14ac:dyDescent="0.25">
      <c r="B90" s="35" t="s">
        <v>48</v>
      </c>
      <c r="C90" s="23">
        <v>0</v>
      </c>
      <c r="D90" s="35">
        <v>0</v>
      </c>
      <c r="E90" s="23">
        <v>0</v>
      </c>
      <c r="F90" s="29">
        <v>0</v>
      </c>
      <c r="G90" s="38">
        <f>SUM(C90:F90)</f>
        <v>0</v>
      </c>
    </row>
    <row r="91" spans="2:7" x14ac:dyDescent="0.25">
      <c r="B91" s="102" t="s">
        <v>50</v>
      </c>
      <c r="C91" s="103"/>
      <c r="D91" s="103"/>
      <c r="E91" s="103"/>
      <c r="F91" s="103"/>
      <c r="G91" s="104"/>
    </row>
    <row r="92" spans="2:7" x14ac:dyDescent="0.25">
      <c r="B92" s="35" t="s">
        <v>44</v>
      </c>
      <c r="C92" s="40">
        <v>0</v>
      </c>
      <c r="D92" s="23">
        <v>0</v>
      </c>
      <c r="E92" s="23">
        <v>0</v>
      </c>
      <c r="F92" s="29">
        <v>0</v>
      </c>
      <c r="G92" s="38">
        <f>SUM(C92:F92)</f>
        <v>0</v>
      </c>
    </row>
    <row r="93" spans="2:7" x14ac:dyDescent="0.25">
      <c r="B93" s="35" t="s">
        <v>45</v>
      </c>
      <c r="C93" s="40">
        <v>0</v>
      </c>
      <c r="D93" s="23">
        <v>0</v>
      </c>
      <c r="E93" s="23">
        <v>0</v>
      </c>
      <c r="F93" s="29">
        <v>0</v>
      </c>
      <c r="G93" s="38">
        <f>SUM(C93:F93)</f>
        <v>0</v>
      </c>
    </row>
    <row r="94" spans="2:7" x14ac:dyDescent="0.25">
      <c r="B94" s="35" t="s">
        <v>46</v>
      </c>
      <c r="C94" s="41">
        <v>0</v>
      </c>
      <c r="D94" s="23">
        <v>0</v>
      </c>
      <c r="E94" s="23">
        <v>0</v>
      </c>
      <c r="F94" s="29">
        <v>0</v>
      </c>
      <c r="G94" s="38">
        <f>AVERAGE(C94:F94)</f>
        <v>0</v>
      </c>
    </row>
    <row r="95" spans="2:7" x14ac:dyDescent="0.25">
      <c r="B95" s="35" t="s">
        <v>47</v>
      </c>
      <c r="C95" s="53">
        <v>13</v>
      </c>
      <c r="D95" s="23">
        <v>0</v>
      </c>
      <c r="E95" s="48">
        <v>0</v>
      </c>
      <c r="F95" s="29">
        <v>7</v>
      </c>
      <c r="G95" s="38">
        <f>SUM(C95:F95)</f>
        <v>20</v>
      </c>
    </row>
    <row r="96" spans="2:7" x14ac:dyDescent="0.25">
      <c r="B96" s="35" t="s">
        <v>48</v>
      </c>
      <c r="C96" s="54">
        <v>188.02483599999999</v>
      </c>
      <c r="D96" s="23">
        <v>0</v>
      </c>
      <c r="E96" s="48">
        <v>0</v>
      </c>
      <c r="F96" s="29">
        <v>91.803073999999995</v>
      </c>
      <c r="G96" s="13">
        <f>SUM(C96:F96)</f>
        <v>279.82790999999997</v>
      </c>
    </row>
    <row r="97" spans="1:8" x14ac:dyDescent="0.25">
      <c r="B97" s="99" t="s">
        <v>53</v>
      </c>
      <c r="C97" s="100"/>
      <c r="D97" s="100"/>
      <c r="E97" s="100"/>
      <c r="F97" s="100"/>
      <c r="G97" s="101"/>
    </row>
    <row r="98" spans="1:8" x14ac:dyDescent="0.25">
      <c r="B98" s="21" t="s">
        <v>44</v>
      </c>
      <c r="C98" s="22">
        <v>0</v>
      </c>
      <c r="D98" s="21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45</v>
      </c>
      <c r="C99" s="22">
        <v>0</v>
      </c>
      <c r="D99" s="21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46</v>
      </c>
      <c r="C100" s="22">
        <v>0</v>
      </c>
      <c r="D100" s="21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47</v>
      </c>
      <c r="C101" s="22">
        <v>1112</v>
      </c>
      <c r="D101" s="22">
        <v>136</v>
      </c>
      <c r="E101" s="22">
        <f>+E83</f>
        <v>6</v>
      </c>
      <c r="F101" s="32">
        <v>0</v>
      </c>
      <c r="G101" s="22">
        <f>SUM(C101:F101)</f>
        <v>1254</v>
      </c>
    </row>
    <row r="102" spans="1:8" x14ac:dyDescent="0.25">
      <c r="B102" s="21" t="s">
        <v>48</v>
      </c>
      <c r="C102" s="22">
        <v>21765.421954000001</v>
      </c>
      <c r="D102" s="22">
        <v>1551</v>
      </c>
      <c r="E102" s="22">
        <f>+E84</f>
        <v>74</v>
      </c>
      <c r="F102" s="25">
        <v>0</v>
      </c>
      <c r="G102" s="25">
        <f>SUM(C102:F102)</f>
        <v>23390.421954000001</v>
      </c>
    </row>
    <row r="103" spans="1:8" x14ac:dyDescent="0.25">
      <c r="A103" s="4"/>
      <c r="B103" s="81"/>
      <c r="C103" s="81"/>
      <c r="D103" s="81"/>
      <c r="E103" s="81"/>
      <c r="F103" s="81"/>
      <c r="G103" s="81"/>
      <c r="H103" s="81"/>
    </row>
    <row r="104" spans="1:8" x14ac:dyDescent="0.25">
      <c r="B104" s="95" t="s">
        <v>54</v>
      </c>
      <c r="C104" s="95"/>
      <c r="D104" s="95"/>
      <c r="E104" s="95"/>
      <c r="F104" s="95"/>
      <c r="G104" s="95"/>
    </row>
    <row r="105" spans="1:8" x14ac:dyDescent="0.25">
      <c r="B105" s="97" t="s">
        <v>55</v>
      </c>
      <c r="C105" s="97"/>
      <c r="D105" s="97"/>
      <c r="E105" s="97"/>
      <c r="F105" s="97"/>
      <c r="G105" s="97"/>
    </row>
    <row r="106" spans="1:8" x14ac:dyDescent="0.25">
      <c r="B106" s="35" t="s">
        <v>56</v>
      </c>
      <c r="C106" s="60">
        <v>1.5247713296588428</v>
      </c>
      <c r="D106" s="16">
        <v>2.5507971014492767</v>
      </c>
      <c r="E106" s="44">
        <v>2.2999999999999998</v>
      </c>
      <c r="F106" s="16">
        <v>2.38</v>
      </c>
      <c r="G106" s="16">
        <f>AVERAGE(C106:F106)</f>
        <v>2.18889210777703</v>
      </c>
    </row>
    <row r="107" spans="1:8" x14ac:dyDescent="0.25">
      <c r="B107" s="35" t="s">
        <v>57</v>
      </c>
      <c r="C107" s="60">
        <v>1.7982625318606262</v>
      </c>
      <c r="D107" s="16">
        <v>2.4416143497757821</v>
      </c>
      <c r="E107" s="47">
        <v>2.1800000000000002</v>
      </c>
      <c r="F107" s="16">
        <v>2.38</v>
      </c>
      <c r="G107" s="16">
        <f>AVERAGE(C107:F107)</f>
        <v>2.1999692204091019</v>
      </c>
    </row>
    <row r="108" spans="1:8" x14ac:dyDescent="0.25">
      <c r="B108" s="35" t="s">
        <v>58</v>
      </c>
      <c r="C108" s="60">
        <v>1.5447306116410979</v>
      </c>
      <c r="D108" s="16">
        <v>2.2990862944162433</v>
      </c>
      <c r="E108" s="44">
        <v>1.7</v>
      </c>
      <c r="F108" s="16">
        <v>2.38</v>
      </c>
      <c r="G108" s="16">
        <f>AVERAGE(C108:F108)</f>
        <v>1.9809542265143354</v>
      </c>
    </row>
    <row r="109" spans="1:8" x14ac:dyDescent="0.25">
      <c r="B109" s="97" t="s">
        <v>59</v>
      </c>
      <c r="C109" s="97"/>
      <c r="D109" s="97"/>
      <c r="E109" s="97"/>
      <c r="F109" s="97"/>
      <c r="G109" s="97"/>
    </row>
    <row r="110" spans="1:8" x14ac:dyDescent="0.25">
      <c r="B110" s="35" t="s">
        <v>56</v>
      </c>
      <c r="C110" s="16">
        <v>1.1566666666666667</v>
      </c>
      <c r="D110" s="16">
        <v>1.65</v>
      </c>
      <c r="E110" s="44">
        <v>1.45</v>
      </c>
      <c r="F110" s="16">
        <v>1.56</v>
      </c>
      <c r="G110" s="16">
        <f>AVERAGE(C110:F110)</f>
        <v>1.4541666666666666</v>
      </c>
    </row>
    <row r="111" spans="1:8" x14ac:dyDescent="0.25">
      <c r="B111" s="35" t="s">
        <v>57</v>
      </c>
      <c r="C111" s="16">
        <v>1.4500000000000008</v>
      </c>
      <c r="D111" s="16">
        <v>1.6407692307692305</v>
      </c>
      <c r="E111" s="44">
        <v>1.43</v>
      </c>
      <c r="F111" s="16">
        <v>1.56</v>
      </c>
      <c r="G111" s="16">
        <f>AVERAGE(C111:F111)</f>
        <v>1.5201923076923078</v>
      </c>
    </row>
    <row r="112" spans="1:8" x14ac:dyDescent="0.25">
      <c r="B112" s="35" t="s">
        <v>58</v>
      </c>
      <c r="C112" s="16">
        <v>1.1001081646894524</v>
      </c>
      <c r="D112" s="16">
        <v>1.6392187500000015</v>
      </c>
      <c r="E112" s="44">
        <v>1.0900000000000001</v>
      </c>
      <c r="F112" s="16">
        <v>1.56</v>
      </c>
      <c r="G112" s="16">
        <f>AVERAGE(C112:F112)</f>
        <v>1.3473317286723634</v>
      </c>
    </row>
    <row r="113" spans="1:9" x14ac:dyDescent="0.25">
      <c r="A113" s="4"/>
      <c r="B113" s="81"/>
      <c r="C113" s="81"/>
      <c r="D113" s="81"/>
      <c r="E113" s="81"/>
      <c r="F113" s="81"/>
      <c r="G113" s="81"/>
      <c r="H113" s="81"/>
      <c r="I113" s="81"/>
    </row>
    <row r="114" spans="1:9" x14ac:dyDescent="0.25">
      <c r="B114" s="97" t="s">
        <v>60</v>
      </c>
      <c r="C114" s="97"/>
      <c r="D114" s="97"/>
      <c r="E114" s="97"/>
      <c r="F114" s="97"/>
      <c r="G114" s="97"/>
    </row>
    <row r="115" spans="1:9" x14ac:dyDescent="0.25">
      <c r="B115" s="35" t="s">
        <v>56</v>
      </c>
      <c r="C115" s="16">
        <v>1.2664124293785233</v>
      </c>
      <c r="D115" s="16">
        <v>1.669999999999999</v>
      </c>
      <c r="E115" s="47">
        <v>1.57</v>
      </c>
      <c r="F115" s="16">
        <v>1.6407692307692305</v>
      </c>
      <c r="G115" s="16">
        <f>AVERAGE(C115:F115)</f>
        <v>1.5367954150369383</v>
      </c>
    </row>
    <row r="116" spans="1:9" x14ac:dyDescent="0.25">
      <c r="B116" s="35" t="s">
        <v>57</v>
      </c>
      <c r="C116" s="16">
        <v>1.3894520547945088</v>
      </c>
      <c r="D116" s="16">
        <v>1.6708823529411765</v>
      </c>
      <c r="E116" s="47">
        <v>1.58</v>
      </c>
      <c r="F116" s="16">
        <v>1.6407692307692305</v>
      </c>
      <c r="G116" s="16">
        <f>AVERAGE(C116:F116)</f>
        <v>1.5702759096262291</v>
      </c>
    </row>
    <row r="117" spans="1:9" x14ac:dyDescent="0.25">
      <c r="B117" s="35" t="s">
        <v>58</v>
      </c>
      <c r="C117" s="16">
        <v>1.3698682284041186</v>
      </c>
      <c r="D117" s="16">
        <v>1.6698364485981398</v>
      </c>
      <c r="E117" s="47">
        <v>1.32</v>
      </c>
      <c r="F117" s="16">
        <v>1.6407692307692305</v>
      </c>
      <c r="G117" s="16">
        <f>AVERAGE(C117:F117)</f>
        <v>1.5001184769428724</v>
      </c>
    </row>
    <row r="118" spans="1:9" x14ac:dyDescent="0.25">
      <c r="B118" s="102" t="s">
        <v>61</v>
      </c>
      <c r="C118" s="103"/>
      <c r="D118" s="103"/>
      <c r="E118" s="103"/>
      <c r="F118" s="103"/>
      <c r="G118" s="104"/>
    </row>
    <row r="119" spans="1:9" x14ac:dyDescent="0.25">
      <c r="B119" s="35" t="s">
        <v>56</v>
      </c>
      <c r="C119" s="16">
        <v>0</v>
      </c>
      <c r="D119" s="16">
        <v>1.1829166666666666</v>
      </c>
      <c r="E119" s="36">
        <v>0</v>
      </c>
      <c r="F119" s="44">
        <v>0.99</v>
      </c>
      <c r="G119" s="16">
        <f>AVERAGE(C119:F119)</f>
        <v>0.54322916666666665</v>
      </c>
    </row>
    <row r="120" spans="1:9" x14ac:dyDescent="0.25">
      <c r="B120" s="35" t="s">
        <v>57</v>
      </c>
      <c r="C120" s="16">
        <v>0.98999999999999988</v>
      </c>
      <c r="D120" s="16">
        <v>1.1829166666666666</v>
      </c>
      <c r="E120" s="44">
        <v>0</v>
      </c>
      <c r="F120" s="16">
        <v>1.3894520547945088</v>
      </c>
      <c r="G120" s="16">
        <f>AVERAGE(C120:F120)</f>
        <v>0.89059218036529386</v>
      </c>
    </row>
    <row r="121" spans="1:9" x14ac:dyDescent="0.25">
      <c r="B121" s="35" t="s">
        <v>58</v>
      </c>
      <c r="C121" s="16">
        <v>0.98999999999999988</v>
      </c>
      <c r="D121" s="16">
        <v>1.1829166666666666</v>
      </c>
      <c r="E121" s="44">
        <v>0.98</v>
      </c>
      <c r="F121" s="16">
        <v>1.3894520547945088</v>
      </c>
      <c r="G121" s="16">
        <f>AVERAGE(C121:F121)</f>
        <v>1.1355921803652937</v>
      </c>
    </row>
    <row r="122" spans="1:9" x14ac:dyDescent="0.25">
      <c r="A122" s="4"/>
      <c r="B122" s="81"/>
      <c r="C122" s="81"/>
      <c r="D122" s="81"/>
      <c r="E122" s="81"/>
      <c r="F122" s="81"/>
      <c r="G122" s="81"/>
      <c r="H122" s="81"/>
    </row>
    <row r="123" spans="1:9" x14ac:dyDescent="0.25">
      <c r="B123" s="88" t="s">
        <v>62</v>
      </c>
      <c r="C123" s="89"/>
      <c r="D123" s="89"/>
      <c r="E123" s="89"/>
      <c r="F123" s="89"/>
      <c r="G123" s="90"/>
    </row>
    <row r="124" spans="1:9" x14ac:dyDescent="0.25">
      <c r="B124" s="2" t="s">
        <v>63</v>
      </c>
      <c r="C124" s="16">
        <v>0</v>
      </c>
      <c r="D124" s="31">
        <v>0</v>
      </c>
      <c r="E124" s="23">
        <v>0</v>
      </c>
      <c r="F124" s="23">
        <v>0</v>
      </c>
      <c r="G124" s="39">
        <f>AVERAGE(C124:F124)</f>
        <v>0</v>
      </c>
      <c r="H124" s="3"/>
    </row>
    <row r="125" spans="1:9" x14ac:dyDescent="0.25">
      <c r="B125" s="88" t="s">
        <v>64</v>
      </c>
      <c r="C125" s="89"/>
      <c r="D125" s="89"/>
      <c r="E125" s="89"/>
      <c r="F125" s="89"/>
      <c r="G125" s="90"/>
    </row>
    <row r="126" spans="1:9" x14ac:dyDescent="0.25">
      <c r="B126" s="5" t="s">
        <v>65</v>
      </c>
      <c r="C126" s="16">
        <v>1.6171671720499301</v>
      </c>
      <c r="D126" s="61">
        <v>1.95653542201687</v>
      </c>
      <c r="E126" s="49">
        <v>1.974486</v>
      </c>
      <c r="F126" s="14">
        <v>0</v>
      </c>
      <c r="G126" s="39">
        <f>AVERAGE(C126:F126)</f>
        <v>1.3870471485167</v>
      </c>
    </row>
    <row r="127" spans="1:9" x14ac:dyDescent="0.25">
      <c r="A127" s="4"/>
      <c r="B127" s="105"/>
      <c r="C127" s="105"/>
      <c r="D127" s="105"/>
      <c r="E127" s="105"/>
      <c r="F127" s="105"/>
      <c r="G127" s="105"/>
      <c r="H127" s="105"/>
    </row>
    <row r="128" spans="1:9" x14ac:dyDescent="0.25">
      <c r="B128" s="95" t="s">
        <v>66</v>
      </c>
      <c r="C128" s="95"/>
      <c r="D128" s="95"/>
      <c r="E128" s="95"/>
      <c r="F128" s="95"/>
      <c r="G128" s="95"/>
    </row>
    <row r="129" spans="1:9" x14ac:dyDescent="0.25">
      <c r="B129" s="35" t="s">
        <v>67</v>
      </c>
      <c r="C129" s="38">
        <v>305204</v>
      </c>
      <c r="D129" s="40">
        <v>9059</v>
      </c>
      <c r="E129" s="40">
        <v>8583</v>
      </c>
      <c r="F129" s="40">
        <v>1077</v>
      </c>
      <c r="G129" s="38">
        <f>SUM(C129:F129)</f>
        <v>323923</v>
      </c>
    </row>
    <row r="130" spans="1:9" x14ac:dyDescent="0.25">
      <c r="B130" s="35" t="s">
        <v>68</v>
      </c>
      <c r="C130" s="38">
        <v>206284.50038799999</v>
      </c>
      <c r="D130" s="40">
        <v>4630.3328430000001</v>
      </c>
      <c r="E130" s="40">
        <v>1324</v>
      </c>
      <c r="F130" s="38">
        <v>1392.687563</v>
      </c>
      <c r="G130" s="13">
        <f>SUM(C130:F130)</f>
        <v>213631.52079400001</v>
      </c>
    </row>
    <row r="131" spans="1:9" x14ac:dyDescent="0.25">
      <c r="A131" s="4"/>
      <c r="B131" s="81"/>
      <c r="C131" s="81"/>
      <c r="D131" s="81"/>
      <c r="E131" s="81"/>
      <c r="F131" s="81"/>
      <c r="G131" s="81"/>
      <c r="H131" s="81"/>
    </row>
    <row r="132" spans="1:9" x14ac:dyDescent="0.25">
      <c r="B132" s="95" t="s">
        <v>69</v>
      </c>
      <c r="C132" s="95"/>
      <c r="D132" s="95"/>
      <c r="E132" s="95"/>
      <c r="F132" s="95"/>
      <c r="G132" s="95"/>
    </row>
    <row r="133" spans="1:9" x14ac:dyDescent="0.25">
      <c r="B133" s="35" t="s">
        <v>70</v>
      </c>
      <c r="C133" s="38">
        <v>677935</v>
      </c>
      <c r="D133" s="40">
        <v>147543</v>
      </c>
      <c r="E133" s="40">
        <f>26934+109418</f>
        <v>136352</v>
      </c>
      <c r="F133" s="40">
        <v>323545</v>
      </c>
      <c r="G133" s="38">
        <f>SUM(C133:F133)</f>
        <v>1285375</v>
      </c>
    </row>
    <row r="134" spans="1:9" x14ac:dyDescent="0.25">
      <c r="A134" s="4"/>
      <c r="B134" s="81"/>
      <c r="C134" s="81"/>
      <c r="D134" s="81"/>
      <c r="E134" s="81"/>
      <c r="F134" s="81"/>
      <c r="G134" s="81"/>
      <c r="H134" s="81"/>
    </row>
    <row r="135" spans="1:9" ht="21" x14ac:dyDescent="0.35">
      <c r="B135" s="106" t="s">
        <v>71</v>
      </c>
      <c r="C135" s="106"/>
      <c r="D135" s="106"/>
      <c r="E135" s="106"/>
      <c r="F135" s="106"/>
      <c r="G135" s="106"/>
    </row>
    <row r="136" spans="1:9" x14ac:dyDescent="0.25">
      <c r="B136" s="95" t="s">
        <v>72</v>
      </c>
      <c r="C136" s="95"/>
      <c r="D136" s="95"/>
      <c r="E136" s="95"/>
      <c r="F136" s="95"/>
      <c r="G136" s="95"/>
    </row>
    <row r="137" spans="1:9" x14ac:dyDescent="0.25">
      <c r="B137" s="35" t="s">
        <v>73</v>
      </c>
      <c r="C137" s="38">
        <v>0</v>
      </c>
      <c r="D137" s="40">
        <v>5684</v>
      </c>
      <c r="E137" s="38"/>
      <c r="F137" s="38">
        <v>15579</v>
      </c>
      <c r="G137" s="40">
        <f>SUM(C137:F137)</f>
        <v>21263</v>
      </c>
      <c r="H137" s="9"/>
      <c r="I137" s="9"/>
    </row>
    <row r="138" spans="1:9" x14ac:dyDescent="0.25">
      <c r="B138" s="35" t="s">
        <v>74</v>
      </c>
      <c r="C138" s="38">
        <v>0</v>
      </c>
      <c r="D138" s="40">
        <v>3</v>
      </c>
      <c r="E138" s="38"/>
      <c r="F138" s="38">
        <v>174</v>
      </c>
      <c r="G138" s="40">
        <f>SUM(C138:F138)</f>
        <v>177</v>
      </c>
      <c r="H138" s="9"/>
      <c r="I138" s="9"/>
    </row>
    <row r="139" spans="1:9" x14ac:dyDescent="0.25">
      <c r="A139" s="4"/>
      <c r="B139" s="81"/>
      <c r="C139" s="81"/>
      <c r="D139" s="81"/>
      <c r="E139" s="81"/>
      <c r="F139" s="81"/>
      <c r="G139" s="81"/>
      <c r="H139" s="81"/>
      <c r="I139" s="9"/>
    </row>
    <row r="140" spans="1:9" x14ac:dyDescent="0.25">
      <c r="B140" s="88" t="s">
        <v>75</v>
      </c>
      <c r="C140" s="89"/>
      <c r="D140" s="89"/>
      <c r="E140" s="89"/>
      <c r="F140" s="89"/>
      <c r="G140" s="90"/>
      <c r="I140" s="9"/>
    </row>
    <row r="141" spans="1:9" x14ac:dyDescent="0.25">
      <c r="B141" s="35" t="s">
        <v>76</v>
      </c>
      <c r="C141" s="38">
        <v>0</v>
      </c>
      <c r="D141" s="40">
        <v>0</v>
      </c>
      <c r="E141" s="38">
        <v>0</v>
      </c>
      <c r="F141" s="23">
        <v>0</v>
      </c>
      <c r="G141" s="40">
        <f>SUM(C141:F141)</f>
        <v>0</v>
      </c>
      <c r="H141" s="9"/>
      <c r="I141" s="9"/>
    </row>
    <row r="142" spans="1:9" x14ac:dyDescent="0.25">
      <c r="A142" s="4"/>
      <c r="B142" s="81"/>
      <c r="C142" s="81"/>
      <c r="D142" s="81"/>
      <c r="E142" s="81"/>
      <c r="F142" s="81"/>
      <c r="G142" s="81"/>
      <c r="H142" s="81"/>
    </row>
    <row r="143" spans="1:9" ht="21" x14ac:dyDescent="0.35">
      <c r="B143" s="85" t="s">
        <v>77</v>
      </c>
      <c r="C143" s="86"/>
      <c r="D143" s="86"/>
      <c r="E143" s="86"/>
      <c r="F143" s="86"/>
      <c r="G143" s="87"/>
    </row>
    <row r="144" spans="1:9" x14ac:dyDescent="0.25">
      <c r="B144" s="88" t="s">
        <v>78</v>
      </c>
      <c r="C144" s="89"/>
      <c r="D144" s="89"/>
      <c r="E144" s="89"/>
      <c r="F144" s="89"/>
      <c r="G144" s="90"/>
    </row>
    <row r="145" spans="1:8" x14ac:dyDescent="0.25">
      <c r="A145" s="4"/>
      <c r="B145" s="107"/>
      <c r="C145" s="107"/>
      <c r="D145" s="107"/>
      <c r="E145" s="107"/>
      <c r="F145" s="107"/>
      <c r="G145" s="107"/>
      <c r="H145" s="107"/>
    </row>
    <row r="146" spans="1:8" x14ac:dyDescent="0.25">
      <c r="B146" s="98" t="s">
        <v>79</v>
      </c>
      <c r="C146" s="98"/>
      <c r="D146" s="98"/>
      <c r="E146" s="98"/>
      <c r="F146" s="98"/>
      <c r="G146" s="98"/>
    </row>
    <row r="147" spans="1:8" x14ac:dyDescent="0.25">
      <c r="B147" s="35" t="s">
        <v>80</v>
      </c>
      <c r="C147" s="40">
        <v>3</v>
      </c>
      <c r="D147" s="40">
        <v>428</v>
      </c>
      <c r="E147" s="57"/>
      <c r="F147" s="1">
        <v>61</v>
      </c>
      <c r="G147" s="38">
        <f>SUM(C147:F147)</f>
        <v>492</v>
      </c>
    </row>
    <row r="148" spans="1:8" x14ac:dyDescent="0.25">
      <c r="B148" s="35" t="s">
        <v>81</v>
      </c>
      <c r="C148" s="40">
        <v>6.4000000000000001E-2</v>
      </c>
      <c r="D148" s="40">
        <v>8.7040000000000006</v>
      </c>
      <c r="E148" s="57"/>
      <c r="F148" s="42">
        <v>0.77249999999999996</v>
      </c>
      <c r="G148" s="13">
        <f>SUM(C148:F148)</f>
        <v>9.5405000000000015</v>
      </c>
    </row>
    <row r="149" spans="1:8" x14ac:dyDescent="0.25">
      <c r="A149" s="4"/>
      <c r="B149" s="81"/>
      <c r="C149" s="81"/>
      <c r="D149" s="81"/>
      <c r="E149" s="81"/>
      <c r="F149" s="81"/>
      <c r="G149" s="81"/>
      <c r="H149" s="81"/>
    </row>
    <row r="150" spans="1:8" x14ac:dyDescent="0.25">
      <c r="B150" s="98" t="s">
        <v>82</v>
      </c>
      <c r="C150" s="98"/>
      <c r="D150" s="98"/>
      <c r="E150" s="98"/>
      <c r="F150" s="98"/>
      <c r="G150" s="98"/>
    </row>
    <row r="151" spans="1:8" x14ac:dyDescent="0.25">
      <c r="B151" s="35" t="s">
        <v>83</v>
      </c>
      <c r="C151" s="35">
        <v>0</v>
      </c>
      <c r="D151" s="58">
        <v>27</v>
      </c>
      <c r="E151" s="40">
        <v>20</v>
      </c>
      <c r="F151" s="33">
        <v>0</v>
      </c>
      <c r="G151" s="38">
        <f>SUM(C151:F151)</f>
        <v>47</v>
      </c>
      <c r="H151" s="26"/>
    </row>
    <row r="152" spans="1:8" x14ac:dyDescent="0.25">
      <c r="B152" s="35" t="s">
        <v>84</v>
      </c>
      <c r="C152" s="35"/>
      <c r="D152" s="58">
        <v>0.64</v>
      </c>
      <c r="E152" s="40">
        <f>393000/1000000</f>
        <v>0.39300000000000002</v>
      </c>
      <c r="F152" s="33"/>
      <c r="G152" s="13">
        <f>SUM(C152:F152)</f>
        <v>1.0329999999999999</v>
      </c>
      <c r="H152" s="26"/>
    </row>
    <row r="153" spans="1:8" x14ac:dyDescent="0.25">
      <c r="A153" s="4"/>
      <c r="B153" s="81"/>
      <c r="C153" s="81"/>
      <c r="D153" s="81"/>
      <c r="E153" s="81"/>
      <c r="F153" s="81"/>
      <c r="G153" s="81"/>
      <c r="H153" s="81"/>
    </row>
    <row r="154" spans="1:8" x14ac:dyDescent="0.25">
      <c r="B154" s="98" t="s">
        <v>85</v>
      </c>
      <c r="C154" s="98"/>
      <c r="D154" s="98"/>
      <c r="E154" s="98"/>
      <c r="F154" s="98"/>
      <c r="G154" s="98"/>
    </row>
    <row r="155" spans="1:8" x14ac:dyDescent="0.25">
      <c r="B155" s="35" t="s">
        <v>86</v>
      </c>
      <c r="C155" s="35">
        <v>0</v>
      </c>
      <c r="D155" s="40">
        <v>43</v>
      </c>
      <c r="E155" s="57">
        <v>0</v>
      </c>
      <c r="F155" s="50">
        <v>0</v>
      </c>
      <c r="G155" s="38">
        <f>SUM(C155:F155)</f>
        <v>43</v>
      </c>
      <c r="H155" s="26"/>
    </row>
    <row r="156" spans="1:8" x14ac:dyDescent="0.25">
      <c r="B156" s="35" t="s">
        <v>87</v>
      </c>
      <c r="C156" s="13">
        <v>0</v>
      </c>
      <c r="D156" s="40">
        <v>0.62</v>
      </c>
      <c r="E156" s="57">
        <v>0</v>
      </c>
      <c r="F156" s="50">
        <v>0</v>
      </c>
      <c r="G156" s="13">
        <f>SUM(C156:F156)</f>
        <v>0.62</v>
      </c>
      <c r="H156" s="26"/>
    </row>
    <row r="157" spans="1:8" x14ac:dyDescent="0.25">
      <c r="A157" s="4"/>
      <c r="B157" s="81"/>
      <c r="C157" s="81"/>
      <c r="D157" s="81"/>
      <c r="E157" s="81"/>
      <c r="F157" s="81"/>
      <c r="G157" s="81"/>
      <c r="H157" s="81"/>
    </row>
    <row r="158" spans="1:8" x14ac:dyDescent="0.25">
      <c r="B158" s="98" t="s">
        <v>88</v>
      </c>
      <c r="C158" s="98"/>
      <c r="D158" s="98"/>
      <c r="E158" s="98"/>
      <c r="F158" s="98"/>
      <c r="G158" s="98"/>
    </row>
    <row r="159" spans="1:8" x14ac:dyDescent="0.25">
      <c r="B159" s="21" t="s">
        <v>89</v>
      </c>
      <c r="C159" s="22">
        <v>3</v>
      </c>
      <c r="D159" s="45">
        <v>498</v>
      </c>
      <c r="E159" s="45">
        <f>+E155+E151+E147</f>
        <v>20</v>
      </c>
      <c r="F159" s="22">
        <v>61</v>
      </c>
      <c r="G159" s="22">
        <f>SUM(C159:F159)</f>
        <v>582</v>
      </c>
    </row>
    <row r="160" spans="1:8" x14ac:dyDescent="0.25">
      <c r="B160" s="21" t="s">
        <v>90</v>
      </c>
      <c r="C160" s="22">
        <v>6.4000000000000001E-2</v>
      </c>
      <c r="D160" s="45">
        <v>9.9640000000000004</v>
      </c>
      <c r="E160" s="64">
        <f>+E156+E152+E148</f>
        <v>0.39300000000000002</v>
      </c>
      <c r="F160" s="22">
        <v>0.89249999999999996</v>
      </c>
      <c r="G160" s="25">
        <f>SUM(C160:F160)</f>
        <v>11.313500000000001</v>
      </c>
    </row>
    <row r="161" spans="1:8" x14ac:dyDescent="0.25">
      <c r="A161" s="4"/>
      <c r="B161" s="81"/>
      <c r="C161" s="81"/>
      <c r="D161" s="81"/>
      <c r="E161" s="81"/>
      <c r="F161" s="81"/>
      <c r="G161" s="81"/>
      <c r="H161" s="81"/>
    </row>
    <row r="162" spans="1:8" x14ac:dyDescent="0.25">
      <c r="B162" s="95" t="s">
        <v>91</v>
      </c>
      <c r="C162" s="95"/>
      <c r="D162" s="95"/>
      <c r="E162" s="95"/>
      <c r="F162" s="95"/>
      <c r="G162" s="95"/>
    </row>
    <row r="163" spans="1:8" x14ac:dyDescent="0.25">
      <c r="B163" s="17" t="s">
        <v>86</v>
      </c>
      <c r="C163" s="38">
        <v>2656</v>
      </c>
      <c r="D163" s="40">
        <v>36822</v>
      </c>
      <c r="E163" s="40">
        <v>3121</v>
      </c>
      <c r="F163" s="38">
        <v>16766</v>
      </c>
      <c r="G163" s="38">
        <f>SUM(C163:F163)</f>
        <v>59365</v>
      </c>
    </row>
    <row r="164" spans="1:8" x14ac:dyDescent="0.25">
      <c r="B164" s="17" t="s">
        <v>87</v>
      </c>
      <c r="C164" s="38">
        <v>63.531331999999999</v>
      </c>
      <c r="D164" s="40">
        <v>177.92696199999997</v>
      </c>
      <c r="E164" s="40">
        <f>44948835/1000000</f>
        <v>44.948835000000003</v>
      </c>
      <c r="F164" s="38">
        <v>95.510306</v>
      </c>
      <c r="G164" s="13">
        <f>SUM(C164:F164)</f>
        <v>381.91743499999995</v>
      </c>
    </row>
    <row r="165" spans="1:8" x14ac:dyDescent="0.25">
      <c r="A165" s="4"/>
      <c r="B165" s="81"/>
      <c r="C165" s="81"/>
      <c r="D165" s="81"/>
      <c r="E165" s="81"/>
      <c r="F165" s="81"/>
      <c r="G165" s="81"/>
    </row>
    <row r="166" spans="1:8" x14ac:dyDescent="0.25">
      <c r="B166" s="88" t="s">
        <v>92</v>
      </c>
      <c r="C166" s="89"/>
      <c r="D166" s="89"/>
      <c r="E166" s="89"/>
      <c r="F166" s="89"/>
      <c r="G166" s="90"/>
    </row>
    <row r="167" spans="1:8" x14ac:dyDescent="0.25">
      <c r="B167" s="91" t="s">
        <v>93</v>
      </c>
      <c r="C167" s="92"/>
      <c r="D167" s="92"/>
      <c r="E167" s="92"/>
      <c r="F167" s="92"/>
      <c r="G167" s="93"/>
    </row>
    <row r="168" spans="1:8" x14ac:dyDescent="0.25">
      <c r="B168" s="35" t="s">
        <v>94</v>
      </c>
      <c r="C168" s="37">
        <v>180</v>
      </c>
      <c r="D168" s="40">
        <v>1508</v>
      </c>
      <c r="E168" s="40">
        <v>30</v>
      </c>
      <c r="F168" s="35">
        <v>509</v>
      </c>
      <c r="G168" s="38">
        <f>SUM(C168:F168)</f>
        <v>2227</v>
      </c>
    </row>
    <row r="169" spans="1:8" x14ac:dyDescent="0.25">
      <c r="B169" s="35" t="s">
        <v>95</v>
      </c>
      <c r="C169" s="37">
        <v>4.5</v>
      </c>
      <c r="D169" s="40">
        <v>25.295000000000002</v>
      </c>
      <c r="E169" s="40">
        <f>600000/1000000</f>
        <v>0.6</v>
      </c>
      <c r="F169" s="38">
        <v>19.114999999999998</v>
      </c>
      <c r="G169" s="13">
        <f>SUM(C169:F169)</f>
        <v>49.510000000000005</v>
      </c>
    </row>
    <row r="170" spans="1:8" x14ac:dyDescent="0.25">
      <c r="A170" s="4"/>
      <c r="B170" s="81"/>
      <c r="C170" s="81"/>
      <c r="D170" s="81"/>
      <c r="E170" s="81"/>
      <c r="F170" s="81"/>
      <c r="G170" s="81"/>
    </row>
    <row r="171" spans="1:8" x14ac:dyDescent="0.25">
      <c r="B171" s="91" t="s">
        <v>96</v>
      </c>
      <c r="C171" s="92"/>
      <c r="D171" s="92"/>
      <c r="E171" s="92"/>
      <c r="F171" s="92"/>
      <c r="G171" s="93"/>
    </row>
    <row r="172" spans="1:8" x14ac:dyDescent="0.25">
      <c r="B172" s="35" t="s">
        <v>97</v>
      </c>
      <c r="C172" s="38">
        <v>1009</v>
      </c>
      <c r="D172" s="40">
        <v>394</v>
      </c>
      <c r="E172" s="40">
        <v>107</v>
      </c>
      <c r="F172" s="35">
        <v>242</v>
      </c>
      <c r="G172" s="38">
        <f>SUM(C172:F172)</f>
        <v>1752</v>
      </c>
    </row>
    <row r="173" spans="1:8" x14ac:dyDescent="0.25">
      <c r="B173" s="35" t="s">
        <v>95</v>
      </c>
      <c r="C173" s="38">
        <v>22.198</v>
      </c>
      <c r="D173" s="40">
        <v>8.2739999999999991</v>
      </c>
      <c r="E173" s="40">
        <f>2675000/1000000</f>
        <v>2.6749999999999998</v>
      </c>
      <c r="F173" s="38">
        <v>5.3159999999999998</v>
      </c>
      <c r="G173" s="13">
        <f>SUM(C173:F173)</f>
        <v>38.463000000000001</v>
      </c>
    </row>
    <row r="174" spans="1:8" x14ac:dyDescent="0.25">
      <c r="A174" s="4"/>
      <c r="B174" s="81"/>
      <c r="C174" s="81"/>
      <c r="D174" s="81"/>
      <c r="E174" s="81"/>
      <c r="F174" s="81"/>
      <c r="G174" s="81"/>
      <c r="H174" s="81"/>
    </row>
    <row r="175" spans="1:8" x14ac:dyDescent="0.25">
      <c r="B175" s="91" t="s">
        <v>98</v>
      </c>
      <c r="C175" s="92"/>
      <c r="D175" s="92"/>
      <c r="E175" s="92"/>
      <c r="F175" s="92"/>
      <c r="G175" s="93"/>
    </row>
    <row r="176" spans="1:8" x14ac:dyDescent="0.25">
      <c r="B176" s="35" t="s">
        <v>97</v>
      </c>
      <c r="C176" s="34">
        <v>260</v>
      </c>
      <c r="D176" s="40">
        <v>247</v>
      </c>
      <c r="E176" s="40">
        <v>173</v>
      </c>
      <c r="F176" s="35">
        <v>35</v>
      </c>
      <c r="G176" s="38">
        <f>SUM(C176:F176)</f>
        <v>715</v>
      </c>
    </row>
    <row r="177" spans="1:8" x14ac:dyDescent="0.25">
      <c r="B177" s="35" t="s">
        <v>95</v>
      </c>
      <c r="C177" s="37">
        <v>18.2</v>
      </c>
      <c r="D177" s="40">
        <v>20.14</v>
      </c>
      <c r="E177" s="40">
        <f>9476816/1000000</f>
        <v>9.4768159999999995</v>
      </c>
      <c r="F177" s="38">
        <v>3.55</v>
      </c>
      <c r="G177" s="13">
        <f>SUM(C177:F177)</f>
        <v>51.366816</v>
      </c>
    </row>
    <row r="178" spans="1:8" x14ac:dyDescent="0.25">
      <c r="A178" s="4"/>
      <c r="B178" s="81"/>
      <c r="C178" s="81"/>
      <c r="D178" s="81"/>
      <c r="E178" s="81"/>
      <c r="F178" s="81"/>
      <c r="G178" s="81"/>
      <c r="H178" s="81"/>
    </row>
    <row r="179" spans="1:8" x14ac:dyDescent="0.25">
      <c r="B179" s="91" t="s">
        <v>99</v>
      </c>
      <c r="C179" s="92"/>
      <c r="D179" s="92"/>
      <c r="E179" s="92"/>
      <c r="F179" s="92"/>
      <c r="G179" s="93"/>
    </row>
    <row r="180" spans="1:8" x14ac:dyDescent="0.25">
      <c r="B180" s="35" t="s">
        <v>97</v>
      </c>
      <c r="C180" s="51">
        <v>329</v>
      </c>
      <c r="D180" s="40">
        <v>80259</v>
      </c>
      <c r="E180" s="28">
        <v>0</v>
      </c>
      <c r="F180" s="40">
        <v>0</v>
      </c>
      <c r="G180" s="38">
        <f>SUM(C180:F180)</f>
        <v>80588</v>
      </c>
    </row>
    <row r="181" spans="1:8" x14ac:dyDescent="0.25">
      <c r="B181" s="35" t="s">
        <v>95</v>
      </c>
      <c r="C181" s="52">
        <v>10.18</v>
      </c>
      <c r="D181" s="40">
        <v>2831</v>
      </c>
      <c r="E181" s="28">
        <v>0</v>
      </c>
      <c r="F181" s="13">
        <v>0</v>
      </c>
      <c r="G181" s="13">
        <f>SUM(C181:F181)</f>
        <v>2841.18</v>
      </c>
    </row>
    <row r="182" spans="1:8" x14ac:dyDescent="0.25">
      <c r="A182" s="4"/>
      <c r="B182" s="81"/>
      <c r="C182" s="81"/>
      <c r="D182" s="81"/>
      <c r="E182" s="81"/>
      <c r="F182" s="81"/>
      <c r="G182" s="81"/>
      <c r="H182" s="81"/>
    </row>
    <row r="183" spans="1:8" x14ac:dyDescent="0.25">
      <c r="B183" s="95" t="s">
        <v>100</v>
      </c>
      <c r="C183" s="95"/>
      <c r="D183" s="95"/>
      <c r="E183" s="95"/>
      <c r="F183" s="95"/>
      <c r="G183" s="95"/>
    </row>
    <row r="184" spans="1:8" x14ac:dyDescent="0.25">
      <c r="B184" s="21" t="s">
        <v>101</v>
      </c>
      <c r="C184" s="45">
        <v>1778</v>
      </c>
      <c r="D184" s="45">
        <v>81646</v>
      </c>
      <c r="E184" s="45">
        <f t="shared" ref="E184:E185" si="3">+E180+E176+E172+E168</f>
        <v>310</v>
      </c>
      <c r="F184" s="22">
        <f>+F168+F172+F176+F180</f>
        <v>786</v>
      </c>
      <c r="G184" s="22">
        <f>SUM(C184:F184)</f>
        <v>84520</v>
      </c>
    </row>
    <row r="185" spans="1:8" x14ac:dyDescent="0.25">
      <c r="B185" s="21" t="s">
        <v>102</v>
      </c>
      <c r="C185" s="45">
        <v>55.078000000000003</v>
      </c>
      <c r="D185" s="45">
        <v>72.435043000000007</v>
      </c>
      <c r="E185" s="45">
        <f t="shared" si="3"/>
        <v>12.751816</v>
      </c>
      <c r="F185" s="22">
        <f>+F169+F173+F177+F181</f>
        <v>27.980999999999998</v>
      </c>
      <c r="G185" s="25">
        <f>SUM(C185:F185)</f>
        <v>168.245859</v>
      </c>
    </row>
    <row r="186" spans="1:8" x14ac:dyDescent="0.25">
      <c r="A186" s="4"/>
      <c r="B186" s="81"/>
      <c r="C186" s="81"/>
      <c r="D186" s="81"/>
      <c r="E186" s="81"/>
      <c r="F186" s="81"/>
      <c r="G186" s="81"/>
      <c r="H186" s="81"/>
    </row>
    <row r="187" spans="1:8" x14ac:dyDescent="0.25">
      <c r="B187" s="95" t="s">
        <v>103</v>
      </c>
      <c r="C187" s="95"/>
      <c r="D187" s="95"/>
      <c r="E187" s="95"/>
      <c r="F187" s="95"/>
      <c r="G187" s="95"/>
    </row>
    <row r="188" spans="1:8" x14ac:dyDescent="0.25">
      <c r="B188" s="17" t="s">
        <v>104</v>
      </c>
      <c r="C188" s="38">
        <v>499</v>
      </c>
      <c r="D188" s="40">
        <v>44</v>
      </c>
      <c r="E188" s="63">
        <v>65</v>
      </c>
      <c r="F188" s="38">
        <v>17613</v>
      </c>
      <c r="G188" s="38">
        <f>SUM(C188:F188)</f>
        <v>18221</v>
      </c>
    </row>
    <row r="189" spans="1:8" x14ac:dyDescent="0.25">
      <c r="B189" s="17" t="s">
        <v>105</v>
      </c>
      <c r="C189" s="38">
        <v>5.1637750000000002</v>
      </c>
      <c r="D189" s="40">
        <v>1.0249999999999999</v>
      </c>
      <c r="E189" s="63">
        <f>2680000/1000000</f>
        <v>2.68</v>
      </c>
      <c r="F189" s="38">
        <v>124.38380599999999</v>
      </c>
      <c r="G189" s="13">
        <f>SUM(C189:F189)</f>
        <v>133.25258099999999</v>
      </c>
    </row>
    <row r="190" spans="1:8" x14ac:dyDescent="0.25">
      <c r="A190" s="4"/>
      <c r="B190" s="81"/>
      <c r="C190" s="81"/>
      <c r="D190" s="81"/>
      <c r="E190" s="81"/>
      <c r="F190" s="81"/>
      <c r="G190" s="81"/>
      <c r="H190" s="81"/>
    </row>
    <row r="191" spans="1:8" x14ac:dyDescent="0.25">
      <c r="B191" s="95" t="s">
        <v>106</v>
      </c>
      <c r="C191" s="95"/>
      <c r="D191" s="95"/>
      <c r="E191" s="95"/>
      <c r="F191" s="95"/>
      <c r="G191" s="95"/>
    </row>
    <row r="192" spans="1:8" x14ac:dyDescent="0.25">
      <c r="B192" s="21" t="s">
        <v>107</v>
      </c>
      <c r="C192" s="22">
        <v>4936</v>
      </c>
      <c r="D192" s="45">
        <v>119010</v>
      </c>
      <c r="E192" s="22">
        <f t="shared" ref="E192:E193" si="4">+E188+E184+E163+E159</f>
        <v>3516</v>
      </c>
      <c r="F192" s="22">
        <f>F159+F163+F184+F188</f>
        <v>35226</v>
      </c>
      <c r="G192" s="22">
        <f>SUM(C192:F192)</f>
        <v>162688</v>
      </c>
    </row>
    <row r="193" spans="2:7" x14ac:dyDescent="0.25">
      <c r="B193" s="21" t="s">
        <v>108</v>
      </c>
      <c r="C193" s="22">
        <v>123.837107</v>
      </c>
      <c r="D193" s="45">
        <v>261.35100499999999</v>
      </c>
      <c r="E193" s="22">
        <f t="shared" si="4"/>
        <v>60.773651000000001</v>
      </c>
      <c r="F193" s="22">
        <f>F160+F185+F164+F189</f>
        <v>248.76761199999999</v>
      </c>
      <c r="G193" s="25">
        <f>SUM(C193:F193)</f>
        <v>694.729375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109</v>
      </c>
      <c r="C197" s="10"/>
      <c r="G197" s="9"/>
    </row>
    <row r="198" spans="2:7" x14ac:dyDescent="0.25">
      <c r="B198" t="s">
        <v>113</v>
      </c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CF54-754F-40DC-AC9F-B82DF5491CFE}">
  <dimension ref="A1:BD198"/>
  <sheetViews>
    <sheetView topLeftCell="B1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2" t="s">
        <v>1</v>
      </c>
      <c r="D2" s="83"/>
      <c r="E2" s="83"/>
      <c r="F2" s="83"/>
      <c r="G2" s="84"/>
    </row>
    <row r="3" spans="1:7" ht="21" x14ac:dyDescent="0.35">
      <c r="B3" s="1"/>
      <c r="C3" s="7" t="s">
        <v>2</v>
      </c>
      <c r="D3" s="7" t="s">
        <v>3</v>
      </c>
      <c r="E3" s="8" t="s">
        <v>110</v>
      </c>
      <c r="F3" s="7" t="s">
        <v>4</v>
      </c>
      <c r="G3" s="18" t="s">
        <v>5</v>
      </c>
    </row>
    <row r="4" spans="1:7" ht="21" x14ac:dyDescent="0.35">
      <c r="B4" s="85" t="s">
        <v>6</v>
      </c>
      <c r="C4" s="86"/>
      <c r="D4" s="86"/>
      <c r="E4" s="86"/>
      <c r="F4" s="86"/>
      <c r="G4" s="87"/>
    </row>
    <row r="5" spans="1:7" x14ac:dyDescent="0.25">
      <c r="B5" s="88" t="s">
        <v>7</v>
      </c>
      <c r="C5" s="89"/>
      <c r="D5" s="89"/>
      <c r="E5" s="89"/>
      <c r="F5" s="89"/>
      <c r="G5" s="90"/>
    </row>
    <row r="6" spans="1:7" x14ac:dyDescent="0.25">
      <c r="B6" s="6" t="s">
        <v>8</v>
      </c>
      <c r="C6" s="40">
        <v>55260</v>
      </c>
      <c r="D6" s="40">
        <v>8217</v>
      </c>
      <c r="E6" s="20">
        <v>9302</v>
      </c>
      <c r="F6" s="15">
        <v>10657</v>
      </c>
      <c r="G6" s="15">
        <f>+F6+E6+D6+C6</f>
        <v>83436</v>
      </c>
    </row>
    <row r="7" spans="1:7" x14ac:dyDescent="0.25">
      <c r="B7" s="35" t="s">
        <v>9</v>
      </c>
      <c r="C7" s="40">
        <v>531</v>
      </c>
      <c r="D7" s="40">
        <v>231</v>
      </c>
      <c r="E7" s="20">
        <v>11</v>
      </c>
      <c r="F7" s="15">
        <v>128</v>
      </c>
      <c r="G7" s="15">
        <f>+F7+E7+D7+C7</f>
        <v>901</v>
      </c>
    </row>
    <row r="8" spans="1:7" x14ac:dyDescent="0.25">
      <c r="B8" s="21" t="s">
        <v>10</v>
      </c>
      <c r="C8" s="30">
        <f>SUM(C6:C7)</f>
        <v>55791</v>
      </c>
      <c r="D8" s="30">
        <f>SUM(D6:D7)</f>
        <v>8448</v>
      </c>
      <c r="E8" s="30">
        <f>SUM(E6:E7)</f>
        <v>9313</v>
      </c>
      <c r="F8" s="30">
        <f>SUM(F6:F7)</f>
        <v>10785</v>
      </c>
      <c r="G8" s="30">
        <f>+F8+E8+D8+C8</f>
        <v>84337</v>
      </c>
    </row>
    <row r="9" spans="1:7" x14ac:dyDescent="0.25">
      <c r="B9" s="81"/>
      <c r="C9" s="81"/>
      <c r="D9" s="81"/>
      <c r="E9" s="81"/>
      <c r="F9" s="81"/>
      <c r="G9" s="81"/>
    </row>
    <row r="10" spans="1:7" x14ac:dyDescent="0.25">
      <c r="B10" s="88" t="s">
        <v>11</v>
      </c>
      <c r="C10" s="89"/>
      <c r="D10" s="89"/>
      <c r="E10" s="89"/>
      <c r="F10" s="89"/>
      <c r="G10" s="90"/>
    </row>
    <row r="11" spans="1:7" x14ac:dyDescent="0.25">
      <c r="B11" s="91" t="s">
        <v>12</v>
      </c>
      <c r="C11" s="92"/>
      <c r="D11" s="92"/>
      <c r="E11" s="92"/>
      <c r="F11" s="92"/>
      <c r="G11" s="93"/>
    </row>
    <row r="12" spans="1:7" x14ac:dyDescent="0.25">
      <c r="B12" s="19" t="s">
        <v>13</v>
      </c>
      <c r="C12" s="15">
        <v>928526</v>
      </c>
      <c r="D12" s="40">
        <v>145080</v>
      </c>
      <c r="E12" s="40">
        <v>54792</v>
      </c>
      <c r="F12" s="20">
        <v>0</v>
      </c>
      <c r="G12" s="20">
        <f>SUM(C12:F12)</f>
        <v>1128398</v>
      </c>
    </row>
    <row r="13" spans="1:7" x14ac:dyDescent="0.25">
      <c r="B13" s="19" t="s">
        <v>14</v>
      </c>
      <c r="C13" s="15">
        <v>2157605</v>
      </c>
      <c r="D13" s="40">
        <v>519612</v>
      </c>
      <c r="E13" s="40">
        <v>213034</v>
      </c>
      <c r="F13" s="20">
        <v>0</v>
      </c>
      <c r="G13" s="20">
        <f>SUM(C13:F13)</f>
        <v>2890251</v>
      </c>
    </row>
    <row r="14" spans="1:7" x14ac:dyDescent="0.25">
      <c r="B14" s="21" t="s">
        <v>15</v>
      </c>
      <c r="C14" s="59">
        <f>C13+C12</f>
        <v>3086131</v>
      </c>
      <c r="D14" s="22">
        <v>911809</v>
      </c>
      <c r="E14" s="22">
        <v>267826</v>
      </c>
      <c r="F14" s="22">
        <v>352779</v>
      </c>
      <c r="G14" s="22">
        <f>SUM(C14:F14)</f>
        <v>4618545</v>
      </c>
    </row>
    <row r="15" spans="1:7" x14ac:dyDescent="0.25">
      <c r="B15" s="21" t="s">
        <v>16</v>
      </c>
      <c r="C15" s="59">
        <v>409119</v>
      </c>
      <c r="D15" s="22">
        <v>142287</v>
      </c>
      <c r="E15" s="22">
        <v>2850</v>
      </c>
      <c r="F15" s="22">
        <v>78752</v>
      </c>
      <c r="G15" s="22">
        <f>SUM(C15:F15)</f>
        <v>633008</v>
      </c>
    </row>
    <row r="16" spans="1:7" x14ac:dyDescent="0.25">
      <c r="B16" s="21" t="s">
        <v>17</v>
      </c>
      <c r="C16" s="59">
        <f>C15+C14</f>
        <v>3495250</v>
      </c>
      <c r="D16" s="22">
        <f>SUM(D14:D15)</f>
        <v>1054096</v>
      </c>
      <c r="E16" s="22">
        <f>SUM(E14:E15)</f>
        <v>270676</v>
      </c>
      <c r="F16" s="22">
        <f>SUM(F14:F15)</f>
        <v>431531</v>
      </c>
      <c r="G16" s="22">
        <f>SUM(C16:F16)</f>
        <v>5251553</v>
      </c>
    </row>
    <row r="17" spans="2:8" x14ac:dyDescent="0.25">
      <c r="B17" s="81"/>
      <c r="C17" s="81"/>
      <c r="D17" s="81"/>
      <c r="E17" s="81"/>
      <c r="F17" s="81"/>
      <c r="G17" s="81"/>
    </row>
    <row r="18" spans="2:8" x14ac:dyDescent="0.25">
      <c r="B18" s="91" t="s">
        <v>18</v>
      </c>
      <c r="C18" s="92"/>
      <c r="D18" s="92"/>
      <c r="E18" s="92"/>
      <c r="F18" s="92"/>
      <c r="G18" s="93"/>
    </row>
    <row r="19" spans="2:8" x14ac:dyDescent="0.25">
      <c r="B19" s="17" t="s">
        <v>19</v>
      </c>
      <c r="C19" s="40">
        <v>3653</v>
      </c>
      <c r="D19" s="40">
        <v>2570</v>
      </c>
      <c r="E19" s="28">
        <v>0</v>
      </c>
      <c r="F19" s="28">
        <v>0</v>
      </c>
      <c r="G19" s="28">
        <f>SUM(C19:F19)</f>
        <v>6223</v>
      </c>
    </row>
    <row r="20" spans="2:8" x14ac:dyDescent="0.25">
      <c r="B20" s="94"/>
      <c r="C20" s="94"/>
      <c r="D20" s="94"/>
      <c r="E20" s="94"/>
      <c r="F20" s="94"/>
      <c r="G20" s="94"/>
    </row>
    <row r="21" spans="2:8" x14ac:dyDescent="0.25">
      <c r="B21" s="21" t="s">
        <v>20</v>
      </c>
      <c r="C21" s="22">
        <f>SUM(C16,C19)</f>
        <v>3498903</v>
      </c>
      <c r="D21" s="22">
        <f>SUM(D19,D16)</f>
        <v>1056666</v>
      </c>
      <c r="E21" s="22">
        <f>+E19+E16</f>
        <v>270676</v>
      </c>
      <c r="F21" s="22">
        <f>SUM(F16,F19)</f>
        <v>431531</v>
      </c>
      <c r="G21" s="22">
        <f>SUM(C21:F21)</f>
        <v>5257776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21</v>
      </c>
      <c r="C23" s="11"/>
      <c r="D23" s="11"/>
      <c r="E23" s="11"/>
      <c r="F23" s="11"/>
      <c r="G23" s="12"/>
    </row>
    <row r="24" spans="2:8" x14ac:dyDescent="0.25">
      <c r="B24" s="21" t="s">
        <v>22</v>
      </c>
      <c r="C24" s="22">
        <v>408742</v>
      </c>
      <c r="D24" s="22">
        <v>222189</v>
      </c>
      <c r="E24" s="22">
        <v>135677</v>
      </c>
      <c r="F24" s="22">
        <v>669048</v>
      </c>
      <c r="G24" s="22">
        <f>SUM(C24:F24)</f>
        <v>1435656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23</v>
      </c>
      <c r="C26" s="11"/>
      <c r="D26" s="11"/>
      <c r="E26" s="11"/>
      <c r="F26" s="11"/>
      <c r="G26" s="12"/>
    </row>
    <row r="27" spans="2:8" x14ac:dyDescent="0.25">
      <c r="B27" s="21" t="s">
        <v>24</v>
      </c>
      <c r="C27" s="22">
        <f>SUM(C21,C24)</f>
        <v>3907645</v>
      </c>
      <c r="D27" s="22">
        <f>SUM(D21,D24)</f>
        <v>1278855</v>
      </c>
      <c r="E27" s="22">
        <f>+E21+E24</f>
        <v>406353</v>
      </c>
      <c r="F27" s="22">
        <f>+F24+F21</f>
        <v>1100579</v>
      </c>
      <c r="G27" s="22">
        <f>SUM(C27:F27)</f>
        <v>6693432</v>
      </c>
    </row>
    <row r="28" spans="2:8" x14ac:dyDescent="0.25">
      <c r="B28" s="81"/>
      <c r="C28" s="81"/>
      <c r="D28" s="81"/>
      <c r="E28" s="81"/>
      <c r="F28" s="81"/>
      <c r="G28" s="81"/>
      <c r="H28" s="81"/>
    </row>
    <row r="29" spans="2:8" x14ac:dyDescent="0.25">
      <c r="B29" s="88" t="s">
        <v>25</v>
      </c>
      <c r="C29" s="89"/>
      <c r="D29" s="89"/>
      <c r="E29" s="89"/>
      <c r="F29" s="89"/>
      <c r="G29" s="90"/>
    </row>
    <row r="30" spans="2:8" x14ac:dyDescent="0.25">
      <c r="B30" s="35" t="s">
        <v>26</v>
      </c>
      <c r="C30" s="40">
        <v>1300374</v>
      </c>
      <c r="D30" s="40">
        <v>237715</v>
      </c>
      <c r="E30" s="65">
        <v>98670</v>
      </c>
      <c r="F30" s="40">
        <v>209178</v>
      </c>
      <c r="G30" s="40">
        <f>SUM(C30:F30)</f>
        <v>1845937</v>
      </c>
    </row>
    <row r="31" spans="2:8" x14ac:dyDescent="0.25">
      <c r="B31" s="81"/>
      <c r="C31" s="81"/>
      <c r="D31" s="81"/>
      <c r="E31" s="81"/>
      <c r="F31" s="81"/>
      <c r="G31" s="81"/>
      <c r="H31" s="81"/>
    </row>
    <row r="32" spans="2:8" x14ac:dyDescent="0.25">
      <c r="B32" s="88" t="s">
        <v>27</v>
      </c>
      <c r="C32" s="89"/>
      <c r="D32" s="89"/>
      <c r="E32" s="89"/>
      <c r="F32" s="89"/>
      <c r="G32" s="90"/>
    </row>
    <row r="33" spans="1:9" x14ac:dyDescent="0.25">
      <c r="B33" s="35" t="s">
        <v>28</v>
      </c>
      <c r="C33" s="40">
        <v>2803455568400</v>
      </c>
      <c r="D33" s="40">
        <v>513906088126</v>
      </c>
      <c r="E33" s="40">
        <v>206663901040</v>
      </c>
      <c r="F33" s="40">
        <v>296084850221</v>
      </c>
      <c r="G33" s="40">
        <f>SUM(C33:F33)</f>
        <v>3820110407787</v>
      </c>
    </row>
    <row r="34" spans="1:9" x14ac:dyDescent="0.25">
      <c r="B34" s="35" t="s">
        <v>29</v>
      </c>
      <c r="C34" s="40">
        <v>126494748568</v>
      </c>
      <c r="D34" s="40">
        <v>55283546245</v>
      </c>
      <c r="E34" s="40">
        <v>31293903000</v>
      </c>
      <c r="F34" s="40">
        <v>122046139477</v>
      </c>
      <c r="G34" s="40">
        <f>SUM(C34:F34)</f>
        <v>335118337290</v>
      </c>
    </row>
    <row r="35" spans="1:9" x14ac:dyDescent="0.25">
      <c r="B35" s="21" t="s">
        <v>30</v>
      </c>
      <c r="C35" s="22">
        <f>SUM(C33:C34)</f>
        <v>2929950316968</v>
      </c>
      <c r="D35" s="22">
        <f>SUM(D33:D34)</f>
        <v>569189634371</v>
      </c>
      <c r="E35" s="22">
        <f>SUM(E33:E34)</f>
        <v>237957804040</v>
      </c>
      <c r="F35" s="22">
        <f>SUM(F33:F34)</f>
        <v>418130989698</v>
      </c>
      <c r="G35" s="22">
        <f>SUM(C35:F35)</f>
        <v>4155228745077</v>
      </c>
    </row>
    <row r="36" spans="1:9" x14ac:dyDescent="0.25">
      <c r="B36" s="81"/>
      <c r="C36" s="81"/>
      <c r="D36" s="81"/>
      <c r="E36" s="81"/>
      <c r="F36" s="81"/>
      <c r="G36" s="81"/>
      <c r="H36" s="81"/>
    </row>
    <row r="37" spans="1:9" ht="21" x14ac:dyDescent="0.35">
      <c r="B37" s="85" t="s">
        <v>31</v>
      </c>
      <c r="C37" s="86"/>
      <c r="D37" s="86"/>
      <c r="E37" s="86"/>
      <c r="F37" s="86"/>
      <c r="G37" s="87"/>
    </row>
    <row r="38" spans="1:9" x14ac:dyDescent="0.25">
      <c r="B38" s="88" t="s">
        <v>32</v>
      </c>
      <c r="C38" s="89"/>
      <c r="D38" s="89"/>
      <c r="E38" s="89"/>
      <c r="F38" s="89"/>
      <c r="G38" s="90"/>
    </row>
    <row r="39" spans="1:9" x14ac:dyDescent="0.25">
      <c r="B39" s="35" t="s">
        <v>33</v>
      </c>
      <c r="C39" s="40">
        <v>770697</v>
      </c>
      <c r="D39" s="40">
        <v>144249</v>
      </c>
      <c r="E39" s="40">
        <v>59000</v>
      </c>
      <c r="F39" s="40">
        <v>64541</v>
      </c>
      <c r="G39" s="38">
        <f>SUM(C39:F39)</f>
        <v>1038487</v>
      </c>
      <c r="H39" s="9"/>
      <c r="I39" s="9"/>
    </row>
    <row r="40" spans="1:9" x14ac:dyDescent="0.25">
      <c r="B40" s="35" t="s">
        <v>34</v>
      </c>
      <c r="C40" s="40">
        <f>2210179484
/1000000</f>
        <v>2210.1794839999998</v>
      </c>
      <c r="D40" s="34">
        <v>820.66629699999999</v>
      </c>
      <c r="E40" s="40">
        <v>335</v>
      </c>
      <c r="F40" s="15">
        <v>351.71574399999997</v>
      </c>
      <c r="G40" s="13">
        <f>SUM(C40:F40)</f>
        <v>3717.5615250000001</v>
      </c>
      <c r="H40" s="9"/>
      <c r="I40" s="9"/>
    </row>
    <row r="41" spans="1:9" x14ac:dyDescent="0.25">
      <c r="A41" s="4"/>
      <c r="B41" s="81"/>
      <c r="C41" s="81"/>
      <c r="D41" s="81"/>
      <c r="E41" s="81"/>
      <c r="F41" s="81"/>
      <c r="G41" s="81"/>
      <c r="H41" s="81"/>
      <c r="I41" s="9"/>
    </row>
    <row r="42" spans="1:9" x14ac:dyDescent="0.25">
      <c r="B42" s="95" t="s">
        <v>35</v>
      </c>
      <c r="C42" s="95"/>
      <c r="D42" s="95"/>
      <c r="E42" s="95"/>
      <c r="F42" s="95"/>
      <c r="G42" s="95"/>
      <c r="I42" s="9"/>
    </row>
    <row r="43" spans="1:9" x14ac:dyDescent="0.25">
      <c r="B43" s="35" t="s">
        <v>36</v>
      </c>
      <c r="C43" s="40">
        <v>61</v>
      </c>
      <c r="D43" s="40">
        <v>30</v>
      </c>
      <c r="E43" s="40">
        <v>15</v>
      </c>
      <c r="F43" s="38">
        <v>5</v>
      </c>
      <c r="G43" s="38">
        <f>SUM(C43:F43)</f>
        <v>111</v>
      </c>
      <c r="H43" s="9"/>
      <c r="I43" s="9"/>
    </row>
    <row r="44" spans="1:9" x14ac:dyDescent="0.25">
      <c r="B44" s="35" t="s">
        <v>37</v>
      </c>
      <c r="C44" s="71">
        <f>4951659/1000000</f>
        <v>4.9516590000000003</v>
      </c>
      <c r="D44" s="71">
        <v>0.34311399999999997</v>
      </c>
      <c r="E44" s="71">
        <v>0.1</v>
      </c>
      <c r="F44" s="72">
        <v>0.121561</v>
      </c>
      <c r="G44" s="13">
        <f>SUM(C44:F44)</f>
        <v>5.5163339999999996</v>
      </c>
      <c r="H44" s="9"/>
      <c r="I44" s="9"/>
    </row>
    <row r="45" spans="1:9" x14ac:dyDescent="0.25">
      <c r="A45" s="4"/>
      <c r="B45" s="81"/>
      <c r="C45" s="81"/>
      <c r="D45" s="81"/>
      <c r="E45" s="81"/>
      <c r="F45" s="81"/>
      <c r="G45" s="81"/>
      <c r="H45" s="81"/>
      <c r="I45" s="9"/>
    </row>
    <row r="46" spans="1:9" x14ac:dyDescent="0.25">
      <c r="B46" s="95" t="s">
        <v>38</v>
      </c>
      <c r="C46" s="95"/>
      <c r="D46" s="95"/>
      <c r="E46" s="95"/>
      <c r="F46" s="95"/>
      <c r="G46" s="95"/>
      <c r="I46" s="9"/>
    </row>
    <row r="47" spans="1:9" x14ac:dyDescent="0.25">
      <c r="B47" s="35" t="s">
        <v>39</v>
      </c>
      <c r="C47" s="40">
        <v>110338</v>
      </c>
      <c r="D47" s="40">
        <v>64752</v>
      </c>
      <c r="E47" s="40">
        <v>8749</v>
      </c>
      <c r="F47" s="40">
        <v>48716</v>
      </c>
      <c r="G47" s="40">
        <f>SUM(C47:F47)</f>
        <v>232555</v>
      </c>
      <c r="H47" s="9"/>
      <c r="I47" s="9"/>
    </row>
    <row r="48" spans="1:9" x14ac:dyDescent="0.25">
      <c r="B48" s="35" t="s">
        <v>40</v>
      </c>
      <c r="C48" s="40">
        <f>(48118655666+733973765)/1000000</f>
        <v>48852.629431000001</v>
      </c>
      <c r="D48" s="40">
        <v>19102.162196000001</v>
      </c>
      <c r="E48" s="40">
        <f>6267615281/1000000</f>
        <v>6267.6152810000003</v>
      </c>
      <c r="F48" s="15">
        <v>6546.7150039999997</v>
      </c>
      <c r="G48" s="13">
        <f>SUM(C48:F48)</f>
        <v>80769.121912000002</v>
      </c>
      <c r="H48" s="9"/>
      <c r="I48" s="9"/>
    </row>
    <row r="49" spans="1:8" x14ac:dyDescent="0.25">
      <c r="A49" s="4"/>
      <c r="B49" s="81"/>
      <c r="C49" s="81"/>
      <c r="D49" s="81"/>
      <c r="E49" s="81"/>
      <c r="F49" s="81"/>
      <c r="G49" s="81"/>
      <c r="H49" s="81"/>
    </row>
    <row r="50" spans="1:8" ht="21" x14ac:dyDescent="0.35">
      <c r="B50" s="85" t="s">
        <v>41</v>
      </c>
      <c r="C50" s="86"/>
      <c r="D50" s="86"/>
      <c r="E50" s="86"/>
      <c r="F50" s="86"/>
      <c r="G50" s="87"/>
    </row>
    <row r="51" spans="1:8" x14ac:dyDescent="0.25">
      <c r="A51" s="4"/>
      <c r="B51" s="96"/>
      <c r="C51" s="96"/>
      <c r="D51" s="96"/>
      <c r="E51" s="96"/>
      <c r="F51" s="96"/>
      <c r="G51" s="96"/>
      <c r="H51" s="96"/>
    </row>
    <row r="52" spans="1:8" x14ac:dyDescent="0.25">
      <c r="B52" s="95" t="s">
        <v>42</v>
      </c>
      <c r="C52" s="95"/>
      <c r="D52" s="95"/>
      <c r="E52" s="95"/>
      <c r="F52" s="95"/>
      <c r="G52" s="95"/>
    </row>
    <row r="53" spans="1:8" x14ac:dyDescent="0.25">
      <c r="B53" s="97" t="s">
        <v>43</v>
      </c>
      <c r="C53" s="97"/>
      <c r="D53" s="97"/>
      <c r="E53" s="97"/>
      <c r="F53" s="97"/>
      <c r="G53" s="97"/>
    </row>
    <row r="54" spans="1:8" x14ac:dyDescent="0.25">
      <c r="B54" s="35" t="s">
        <v>44</v>
      </c>
      <c r="C54" s="40">
        <v>58340</v>
      </c>
      <c r="D54" s="40">
        <v>1999</v>
      </c>
      <c r="E54" s="41">
        <v>1409</v>
      </c>
      <c r="F54" s="40">
        <v>1715</v>
      </c>
      <c r="G54" s="40">
        <f t="shared" ref="G54:G70" si="0">SUM(C54:F54)</f>
        <v>63463</v>
      </c>
    </row>
    <row r="55" spans="1:8" x14ac:dyDescent="0.25">
      <c r="B55" s="35" t="s">
        <v>45</v>
      </c>
      <c r="C55" s="40">
        <v>49245.225261</v>
      </c>
      <c r="D55" s="40">
        <v>3140</v>
      </c>
      <c r="E55" s="41">
        <v>4080.5684120000001</v>
      </c>
      <c r="F55" s="40">
        <v>3497</v>
      </c>
      <c r="G55" s="40">
        <f t="shared" si="0"/>
        <v>59962.793673</v>
      </c>
    </row>
    <row r="56" spans="1:8" x14ac:dyDescent="0.25">
      <c r="B56" s="35" t="s">
        <v>46</v>
      </c>
      <c r="C56" s="40">
        <v>15.208604730887901</v>
      </c>
      <c r="D56" s="40">
        <v>41.879324664227561</v>
      </c>
      <c r="E56" s="55">
        <v>36</v>
      </c>
      <c r="F56" s="40">
        <v>31</v>
      </c>
      <c r="G56" s="40">
        <f>AVERAGE(C56:F56)</f>
        <v>31.021982348778863</v>
      </c>
    </row>
    <row r="57" spans="1:8" x14ac:dyDescent="0.25">
      <c r="B57" s="35" t="s">
        <v>47</v>
      </c>
      <c r="C57" s="40">
        <v>809608</v>
      </c>
      <c r="D57" s="40">
        <v>161311</v>
      </c>
      <c r="E57" s="41">
        <v>50671</v>
      </c>
      <c r="F57" s="40">
        <v>76231</v>
      </c>
      <c r="G57" s="40">
        <f t="shared" si="0"/>
        <v>1097821</v>
      </c>
    </row>
    <row r="58" spans="1:8" x14ac:dyDescent="0.25">
      <c r="B58" s="35" t="s">
        <v>48</v>
      </c>
      <c r="C58" s="40">
        <v>1376947.8245560001</v>
      </c>
      <c r="D58" s="40">
        <v>289177.60852299997</v>
      </c>
      <c r="E58" s="56">
        <v>87181.534547999996</v>
      </c>
      <c r="F58" s="40">
        <v>135137</v>
      </c>
      <c r="G58" s="13">
        <f t="shared" si="0"/>
        <v>1888443.9676270001</v>
      </c>
    </row>
    <row r="59" spans="1:8" x14ac:dyDescent="0.25">
      <c r="B59" s="98" t="s">
        <v>49</v>
      </c>
      <c r="C59" s="98"/>
      <c r="D59" s="98"/>
      <c r="E59" s="98"/>
      <c r="F59" s="98"/>
      <c r="G59" s="98"/>
    </row>
    <row r="60" spans="1:8" x14ac:dyDescent="0.25">
      <c r="B60" s="35" t="s">
        <v>44</v>
      </c>
      <c r="C60" s="23">
        <v>0</v>
      </c>
      <c r="D60" s="17">
        <v>0</v>
      </c>
      <c r="E60" s="17">
        <v>0</v>
      </c>
      <c r="F60" s="23">
        <v>0</v>
      </c>
      <c r="G60" s="40">
        <f t="shared" si="0"/>
        <v>0</v>
      </c>
    </row>
    <row r="61" spans="1:8" x14ac:dyDescent="0.25">
      <c r="B61" s="35" t="s">
        <v>45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5" t="s">
        <v>46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5" t="s">
        <v>47</v>
      </c>
      <c r="C63" s="23">
        <v>0</v>
      </c>
      <c r="D63" s="38">
        <v>0</v>
      </c>
      <c r="E63" s="38">
        <v>0</v>
      </c>
      <c r="F63" s="23">
        <v>0</v>
      </c>
      <c r="G63" s="40">
        <f t="shared" si="0"/>
        <v>0</v>
      </c>
    </row>
    <row r="64" spans="1:8" x14ac:dyDescent="0.25">
      <c r="B64" s="35" t="s">
        <v>48</v>
      </c>
      <c r="C64" s="23">
        <v>0</v>
      </c>
      <c r="D64" s="38">
        <v>0</v>
      </c>
      <c r="E64" s="38">
        <v>0</v>
      </c>
      <c r="F64" s="23">
        <v>0</v>
      </c>
      <c r="G64" s="39">
        <f t="shared" si="0"/>
        <v>0</v>
      </c>
    </row>
    <row r="65" spans="1:8" x14ac:dyDescent="0.25">
      <c r="B65" s="97" t="s">
        <v>50</v>
      </c>
      <c r="C65" s="97"/>
      <c r="D65" s="97"/>
      <c r="E65" s="97"/>
      <c r="F65" s="97"/>
      <c r="G65" s="97"/>
    </row>
    <row r="66" spans="1:8" x14ac:dyDescent="0.25">
      <c r="B66" s="35" t="s">
        <v>44</v>
      </c>
      <c r="C66" s="40">
        <v>3383</v>
      </c>
      <c r="D66" s="40">
        <v>670</v>
      </c>
      <c r="E66" s="41">
        <v>2830</v>
      </c>
      <c r="F66" s="41">
        <v>7806</v>
      </c>
      <c r="G66" s="38">
        <f t="shared" si="0"/>
        <v>14689</v>
      </c>
    </row>
    <row r="67" spans="1:8" x14ac:dyDescent="0.25">
      <c r="B67" s="35" t="s">
        <v>45</v>
      </c>
      <c r="C67" s="40">
        <v>2503.3591919999999</v>
      </c>
      <c r="D67" s="40">
        <v>790</v>
      </c>
      <c r="E67" s="41">
        <v>4198.1041800000003</v>
      </c>
      <c r="F67" s="41">
        <v>8838</v>
      </c>
      <c r="G67" s="38">
        <f t="shared" si="0"/>
        <v>16329.463372</v>
      </c>
    </row>
    <row r="68" spans="1:8" x14ac:dyDescent="0.25">
      <c r="B68" s="35" t="s">
        <v>46</v>
      </c>
      <c r="C68" s="40">
        <v>39.4912799290571</v>
      </c>
      <c r="D68" s="40">
        <v>55.936796627332903</v>
      </c>
      <c r="E68" s="41">
        <v>55</v>
      </c>
      <c r="F68" s="40">
        <v>44</v>
      </c>
      <c r="G68" s="38">
        <f>AVERAGE(C68:F68)</f>
        <v>48.607019139097503</v>
      </c>
    </row>
    <row r="69" spans="1:8" x14ac:dyDescent="0.25">
      <c r="B69" s="35" t="s">
        <v>47</v>
      </c>
      <c r="C69" s="40">
        <v>118576</v>
      </c>
      <c r="D69" s="40">
        <v>90610</v>
      </c>
      <c r="E69" s="41">
        <v>58245</v>
      </c>
      <c r="F69" s="15">
        <v>253654</v>
      </c>
      <c r="G69" s="38">
        <f t="shared" si="0"/>
        <v>521085</v>
      </c>
    </row>
    <row r="70" spans="1:8" x14ac:dyDescent="0.25">
      <c r="B70" s="35" t="s">
        <v>48</v>
      </c>
      <c r="C70" s="40">
        <v>89297.588128000003</v>
      </c>
      <c r="D70" s="40">
        <v>78637.038509999998</v>
      </c>
      <c r="E70" s="41">
        <v>49176.196150000003</v>
      </c>
      <c r="F70" s="9">
        <v>173809</v>
      </c>
      <c r="G70" s="39">
        <f t="shared" si="0"/>
        <v>390919.82278799999</v>
      </c>
    </row>
    <row r="71" spans="1:8" x14ac:dyDescent="0.25">
      <c r="B71" s="99" t="s">
        <v>51</v>
      </c>
      <c r="C71" s="100"/>
      <c r="D71" s="100"/>
      <c r="E71" s="100"/>
      <c r="F71" s="100"/>
      <c r="G71" s="101"/>
    </row>
    <row r="72" spans="1:8" x14ac:dyDescent="0.25">
      <c r="B72" s="21" t="s">
        <v>111</v>
      </c>
      <c r="C72" s="22">
        <f>+C66+C54</f>
        <v>61723</v>
      </c>
      <c r="D72" s="22">
        <f>+D66+D60+D54</f>
        <v>2669</v>
      </c>
      <c r="E72" s="22">
        <f t="shared" ref="E72:E73" si="1">+E66+E60+E54</f>
        <v>4239</v>
      </c>
      <c r="F72" s="22">
        <v>9521</v>
      </c>
      <c r="G72" s="22">
        <f>SUM(C72:F72)</f>
        <v>78152</v>
      </c>
    </row>
    <row r="73" spans="1:8" x14ac:dyDescent="0.25">
      <c r="B73" s="21" t="s">
        <v>112</v>
      </c>
      <c r="C73" s="22">
        <f>+C55+C67</f>
        <v>51748.584453000003</v>
      </c>
      <c r="D73" s="22">
        <f t="shared" ref="D73:D75" si="2">+D67+D61+D55</f>
        <v>3930</v>
      </c>
      <c r="E73" s="22">
        <f t="shared" si="1"/>
        <v>8278.6725920000008</v>
      </c>
      <c r="F73" s="22">
        <v>12335</v>
      </c>
      <c r="G73" s="25">
        <f>SUM(C73:F73)</f>
        <v>76292.257045000006</v>
      </c>
    </row>
    <row r="74" spans="1:8" x14ac:dyDescent="0.25">
      <c r="B74" s="21" t="s">
        <v>46</v>
      </c>
      <c r="C74" s="22">
        <v>16.539523354341199</v>
      </c>
      <c r="D74" s="22">
        <f>(+D56+D62+D68)/3</f>
        <v>32.605373763853486</v>
      </c>
      <c r="E74" s="22">
        <v>49</v>
      </c>
      <c r="F74" s="22">
        <v>37.5</v>
      </c>
      <c r="G74" s="22">
        <f>AVERAGE(C74:F74)</f>
        <v>33.911224279548669</v>
      </c>
    </row>
    <row r="75" spans="1:8" x14ac:dyDescent="0.25">
      <c r="B75" s="21" t="s">
        <v>47</v>
      </c>
      <c r="C75" s="22">
        <f>+C57+C69</f>
        <v>928184</v>
      </c>
      <c r="D75" s="22">
        <f t="shared" si="2"/>
        <v>251921</v>
      </c>
      <c r="E75" s="22">
        <f t="shared" ref="E75:E76" si="3">+E69+E63+E57</f>
        <v>108916</v>
      </c>
      <c r="F75" s="22">
        <v>329885</v>
      </c>
      <c r="G75" s="22">
        <f>SUM(C75:F75)</f>
        <v>1618906</v>
      </c>
    </row>
    <row r="76" spans="1:8" x14ac:dyDescent="0.25">
      <c r="B76" s="21" t="s">
        <v>48</v>
      </c>
      <c r="C76" s="22">
        <f>+C58+C70</f>
        <v>1466245.4126840001</v>
      </c>
      <c r="D76" s="22">
        <f>+D70+D64+D58</f>
        <v>367814.64703299996</v>
      </c>
      <c r="E76" s="22">
        <f t="shared" si="3"/>
        <v>136357.730698</v>
      </c>
      <c r="F76" s="22">
        <v>308946</v>
      </c>
      <c r="G76" s="25">
        <f>SUM(C76:F76)</f>
        <v>2279363.7904150002</v>
      </c>
    </row>
    <row r="77" spans="1:8" x14ac:dyDescent="0.25">
      <c r="A77" s="4"/>
      <c r="B77" s="81"/>
      <c r="C77" s="81"/>
      <c r="D77" s="81"/>
      <c r="E77" s="81"/>
      <c r="F77" s="81"/>
      <c r="G77" s="81"/>
      <c r="H77" s="81"/>
    </row>
    <row r="78" spans="1:8" x14ac:dyDescent="0.25">
      <c r="B78" s="88" t="s">
        <v>52</v>
      </c>
      <c r="C78" s="89"/>
      <c r="D78" s="89"/>
      <c r="E78" s="89"/>
      <c r="F78" s="89"/>
      <c r="G78" s="90"/>
    </row>
    <row r="79" spans="1:8" x14ac:dyDescent="0.25">
      <c r="B79" s="102" t="s">
        <v>43</v>
      </c>
      <c r="C79" s="103"/>
      <c r="D79" s="103"/>
      <c r="E79" s="103"/>
      <c r="F79" s="103"/>
      <c r="G79" s="104"/>
    </row>
    <row r="80" spans="1:8" x14ac:dyDescent="0.25">
      <c r="B80" s="35" t="s">
        <v>44</v>
      </c>
      <c r="C80" s="29">
        <v>0</v>
      </c>
      <c r="D80" s="23">
        <v>0</v>
      </c>
      <c r="E80" s="35">
        <v>0</v>
      </c>
      <c r="F80" s="23">
        <v>0</v>
      </c>
      <c r="G80" s="23">
        <f>SUM(C80:F80)</f>
        <v>0</v>
      </c>
    </row>
    <row r="81" spans="2:7" x14ac:dyDescent="0.25">
      <c r="B81" s="35" t="s">
        <v>45</v>
      </c>
      <c r="C81" s="29">
        <v>0</v>
      </c>
      <c r="D81" s="23">
        <v>0</v>
      </c>
      <c r="E81" s="35">
        <v>0</v>
      </c>
      <c r="F81" s="29">
        <v>0</v>
      </c>
      <c r="G81" s="29">
        <f>SUM(C81:F81)</f>
        <v>0</v>
      </c>
    </row>
    <row r="82" spans="2:7" x14ac:dyDescent="0.25">
      <c r="B82" s="35" t="s">
        <v>46</v>
      </c>
      <c r="C82" s="29">
        <v>0</v>
      </c>
      <c r="D82" s="23">
        <v>0</v>
      </c>
      <c r="E82" s="35">
        <v>0</v>
      </c>
      <c r="F82" s="29">
        <v>0</v>
      </c>
      <c r="G82" s="29">
        <f>AVERAGE(C82:F82)</f>
        <v>0</v>
      </c>
    </row>
    <row r="83" spans="2:7" x14ac:dyDescent="0.25">
      <c r="B83" s="35" t="s">
        <v>47</v>
      </c>
      <c r="C83" s="40">
        <v>1093</v>
      </c>
      <c r="D83" s="40">
        <v>137</v>
      </c>
      <c r="E83" s="48">
        <v>6</v>
      </c>
      <c r="F83" s="29">
        <v>117</v>
      </c>
      <c r="G83" s="29">
        <f>SUM(C83:F83)</f>
        <v>1353</v>
      </c>
    </row>
    <row r="84" spans="2:7" x14ac:dyDescent="0.25">
      <c r="B84" s="35" t="s">
        <v>48</v>
      </c>
      <c r="C84" s="40">
        <v>21452.236948000002</v>
      </c>
      <c r="D84" s="40">
        <v>1551</v>
      </c>
      <c r="E84" s="48">
        <v>74</v>
      </c>
      <c r="F84" s="40">
        <v>1967.236247</v>
      </c>
      <c r="G84" s="13">
        <f>SUM(C84:F84)</f>
        <v>25044.473195000002</v>
      </c>
    </row>
    <row r="85" spans="2:7" x14ac:dyDescent="0.25">
      <c r="B85" s="102" t="s">
        <v>49</v>
      </c>
      <c r="C85" s="103"/>
      <c r="D85" s="103"/>
      <c r="E85" s="103"/>
      <c r="F85" s="103"/>
      <c r="G85" s="104"/>
    </row>
    <row r="86" spans="2:7" x14ac:dyDescent="0.25">
      <c r="B86" s="35" t="s">
        <v>44</v>
      </c>
      <c r="C86" s="23">
        <v>0</v>
      </c>
      <c r="D86" s="35">
        <v>0</v>
      </c>
      <c r="E86" s="23">
        <v>0</v>
      </c>
      <c r="F86" s="29">
        <v>0</v>
      </c>
      <c r="G86" s="38">
        <f>SUM(C86:F86)</f>
        <v>0</v>
      </c>
    </row>
    <row r="87" spans="2:7" x14ac:dyDescent="0.25">
      <c r="B87" s="35" t="s">
        <v>45</v>
      </c>
      <c r="C87" s="23">
        <v>0</v>
      </c>
      <c r="D87" s="35">
        <v>0</v>
      </c>
      <c r="E87" s="23">
        <v>0</v>
      </c>
      <c r="F87" s="29">
        <v>0</v>
      </c>
      <c r="G87" s="38">
        <f>SUM(C87:F87)</f>
        <v>0</v>
      </c>
    </row>
    <row r="88" spans="2:7" x14ac:dyDescent="0.25">
      <c r="B88" s="35" t="s">
        <v>46</v>
      </c>
      <c r="C88" s="23">
        <v>0</v>
      </c>
      <c r="D88" s="35">
        <v>0</v>
      </c>
      <c r="E88" s="23">
        <v>0</v>
      </c>
      <c r="F88" s="29">
        <v>0</v>
      </c>
      <c r="G88" s="38">
        <f>AVERAGE(C88:F88)</f>
        <v>0</v>
      </c>
    </row>
    <row r="89" spans="2:7" x14ac:dyDescent="0.25">
      <c r="B89" s="35" t="s">
        <v>47</v>
      </c>
      <c r="C89" s="23">
        <v>0</v>
      </c>
      <c r="D89" s="35">
        <v>0</v>
      </c>
      <c r="E89" s="23">
        <v>0</v>
      </c>
      <c r="F89" s="29">
        <v>0</v>
      </c>
      <c r="G89" s="38">
        <f>SUM(C89:F89)</f>
        <v>0</v>
      </c>
    </row>
    <row r="90" spans="2:7" x14ac:dyDescent="0.25">
      <c r="B90" s="35" t="s">
        <v>48</v>
      </c>
      <c r="C90" s="23">
        <v>0</v>
      </c>
      <c r="D90" s="35">
        <v>0</v>
      </c>
      <c r="E90" s="23">
        <v>0</v>
      </c>
      <c r="F90" s="29">
        <v>0</v>
      </c>
      <c r="G90" s="38">
        <f>SUM(C90:F90)</f>
        <v>0</v>
      </c>
    </row>
    <row r="91" spans="2:7" x14ac:dyDescent="0.25">
      <c r="B91" s="102" t="s">
        <v>50</v>
      </c>
      <c r="C91" s="103"/>
      <c r="D91" s="103"/>
      <c r="E91" s="103"/>
      <c r="F91" s="103"/>
      <c r="G91" s="104"/>
    </row>
    <row r="92" spans="2:7" x14ac:dyDescent="0.25">
      <c r="B92" s="35" t="s">
        <v>44</v>
      </c>
      <c r="C92" s="40">
        <v>0</v>
      </c>
      <c r="D92" s="23">
        <v>0</v>
      </c>
      <c r="E92" s="23">
        <v>0</v>
      </c>
      <c r="F92" s="29">
        <v>0</v>
      </c>
      <c r="G92" s="38">
        <f>SUM(C92:F92)</f>
        <v>0</v>
      </c>
    </row>
    <row r="93" spans="2:7" x14ac:dyDescent="0.25">
      <c r="B93" s="35" t="s">
        <v>45</v>
      </c>
      <c r="C93" s="40">
        <v>0</v>
      </c>
      <c r="D93" s="23">
        <v>0</v>
      </c>
      <c r="E93" s="23">
        <v>0</v>
      </c>
      <c r="F93" s="29">
        <v>0</v>
      </c>
      <c r="G93" s="38">
        <f>SUM(C93:F93)</f>
        <v>0</v>
      </c>
    </row>
    <row r="94" spans="2:7" x14ac:dyDescent="0.25">
      <c r="B94" s="35" t="s">
        <v>46</v>
      </c>
      <c r="C94" s="41">
        <v>0</v>
      </c>
      <c r="D94" s="23">
        <v>0</v>
      </c>
      <c r="E94" s="23">
        <v>0</v>
      </c>
      <c r="F94" s="29">
        <v>0</v>
      </c>
      <c r="G94" s="38">
        <f>AVERAGE(C94:F94)</f>
        <v>0</v>
      </c>
    </row>
    <row r="95" spans="2:7" x14ac:dyDescent="0.25">
      <c r="B95" s="35" t="s">
        <v>47</v>
      </c>
      <c r="C95" s="73">
        <v>13</v>
      </c>
      <c r="D95" s="23">
        <v>0</v>
      </c>
      <c r="E95" s="66">
        <v>0</v>
      </c>
      <c r="F95" s="29">
        <v>7</v>
      </c>
      <c r="G95" s="38">
        <f>SUM(C95:F95)</f>
        <v>20</v>
      </c>
    </row>
    <row r="96" spans="2:7" x14ac:dyDescent="0.25">
      <c r="B96" s="35" t="s">
        <v>48</v>
      </c>
      <c r="C96" s="73">
        <v>187.95655300000001</v>
      </c>
      <c r="D96" s="23">
        <v>0</v>
      </c>
      <c r="E96" s="66">
        <v>0</v>
      </c>
      <c r="F96" s="29">
        <v>90.213065</v>
      </c>
      <c r="G96" s="13">
        <f>SUM(C96:F96)</f>
        <v>278.16961800000001</v>
      </c>
    </row>
    <row r="97" spans="1:8" x14ac:dyDescent="0.25">
      <c r="B97" s="99" t="s">
        <v>53</v>
      </c>
      <c r="C97" s="100"/>
      <c r="D97" s="100"/>
      <c r="E97" s="100"/>
      <c r="F97" s="100"/>
      <c r="G97" s="101"/>
    </row>
    <row r="98" spans="1:8" x14ac:dyDescent="0.25">
      <c r="B98" s="21" t="s">
        <v>44</v>
      </c>
      <c r="C98" s="22">
        <v>0</v>
      </c>
      <c r="D98" s="21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45</v>
      </c>
      <c r="C99" s="22">
        <v>0</v>
      </c>
      <c r="D99" s="21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46</v>
      </c>
      <c r="C100" s="22">
        <v>0</v>
      </c>
      <c r="D100" s="21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47</v>
      </c>
      <c r="C101" s="59">
        <f>+C95+C83</f>
        <v>1106</v>
      </c>
      <c r="D101" s="59">
        <f>+D95+D89+D83</f>
        <v>137</v>
      </c>
      <c r="E101" s="22">
        <f>+E83</f>
        <v>6</v>
      </c>
      <c r="F101" s="32">
        <v>0</v>
      </c>
      <c r="G101" s="22">
        <f>SUM(C101:F101)</f>
        <v>1249</v>
      </c>
    </row>
    <row r="102" spans="1:8" x14ac:dyDescent="0.25">
      <c r="B102" s="21" t="s">
        <v>48</v>
      </c>
      <c r="C102" s="59">
        <f>+C96+C84</f>
        <v>21640.193501000002</v>
      </c>
      <c r="D102" s="59">
        <f t="shared" ref="D102" si="4">+D96+D90+D84</f>
        <v>1551</v>
      </c>
      <c r="E102" s="22">
        <f>+E84</f>
        <v>74</v>
      </c>
      <c r="F102" s="25">
        <v>0</v>
      </c>
      <c r="G102" s="25">
        <f>SUM(C102:F102)</f>
        <v>23265.193501000002</v>
      </c>
    </row>
    <row r="103" spans="1:8" x14ac:dyDescent="0.25">
      <c r="A103" s="4"/>
      <c r="B103" s="81"/>
      <c r="C103" s="81"/>
      <c r="D103" s="81"/>
      <c r="E103" s="81"/>
      <c r="F103" s="81"/>
      <c r="G103" s="81"/>
      <c r="H103" s="81"/>
    </row>
    <row r="104" spans="1:8" x14ac:dyDescent="0.25">
      <c r="B104" s="95" t="s">
        <v>54</v>
      </c>
      <c r="C104" s="95"/>
      <c r="D104" s="95"/>
      <c r="E104" s="95"/>
      <c r="F104" s="95"/>
      <c r="G104" s="95"/>
    </row>
    <row r="105" spans="1:8" x14ac:dyDescent="0.25">
      <c r="B105" s="97" t="s">
        <v>55</v>
      </c>
      <c r="C105" s="97"/>
      <c r="D105" s="97"/>
      <c r="E105" s="97"/>
      <c r="F105" s="97"/>
      <c r="G105" s="97"/>
    </row>
    <row r="106" spans="1:8" x14ac:dyDescent="0.25">
      <c r="B106" s="35" t="s">
        <v>56</v>
      </c>
      <c r="C106" s="60">
        <v>1.529899967582113</v>
      </c>
      <c r="D106" s="16">
        <v>2.5432589285714227</v>
      </c>
      <c r="E106" s="44">
        <v>2.3199999999999998</v>
      </c>
      <c r="F106" s="60">
        <v>1.89</v>
      </c>
      <c r="G106" s="16">
        <f>AVERAGE(C106:F106)</f>
        <v>2.0707897240383839</v>
      </c>
    </row>
    <row r="107" spans="1:8" x14ac:dyDescent="0.25">
      <c r="B107" s="35" t="s">
        <v>57</v>
      </c>
      <c r="C107" s="60">
        <v>1.7993383613300951</v>
      </c>
      <c r="D107" s="16">
        <v>2.4139204545454493</v>
      </c>
      <c r="E107" s="47">
        <v>2.19</v>
      </c>
      <c r="F107" s="47">
        <v>2.1800000000000002</v>
      </c>
      <c r="G107" s="16">
        <f>AVERAGE(C107:F107)</f>
        <v>2.145814703968886</v>
      </c>
    </row>
    <row r="108" spans="1:8" x14ac:dyDescent="0.25">
      <c r="B108" s="35" t="s">
        <v>58</v>
      </c>
      <c r="C108" s="60">
        <v>1.5354074015722734</v>
      </c>
      <c r="D108" s="16">
        <v>2.2976571428571342</v>
      </c>
      <c r="E108" s="44">
        <v>1.71</v>
      </c>
      <c r="F108" s="47">
        <v>2.1800000000000002</v>
      </c>
      <c r="G108" s="16">
        <f>AVERAGE(C108:F108)</f>
        <v>1.9307661361073518</v>
      </c>
    </row>
    <row r="109" spans="1:8" x14ac:dyDescent="0.25">
      <c r="B109" s="97" t="s">
        <v>59</v>
      </c>
      <c r="C109" s="97"/>
      <c r="D109" s="97"/>
      <c r="E109" s="97"/>
      <c r="F109" s="97"/>
      <c r="G109" s="97"/>
    </row>
    <row r="110" spans="1:8" x14ac:dyDescent="0.25">
      <c r="B110" s="35" t="s">
        <v>56</v>
      </c>
      <c r="C110" s="16">
        <v>1.1762500000000002</v>
      </c>
      <c r="D110" s="16">
        <v>1.67</v>
      </c>
      <c r="E110" s="44">
        <v>0</v>
      </c>
      <c r="F110" s="47">
        <v>1.56</v>
      </c>
      <c r="G110" s="16">
        <f>AVERAGE(C110:F110)</f>
        <v>1.1015625</v>
      </c>
    </row>
    <row r="111" spans="1:8" x14ac:dyDescent="0.25">
      <c r="B111" s="35" t="s">
        <v>57</v>
      </c>
      <c r="C111" s="16">
        <v>1.45</v>
      </c>
      <c r="D111" s="16">
        <v>1.6592307692307695</v>
      </c>
      <c r="E111" s="44">
        <v>1.43</v>
      </c>
      <c r="F111" s="47">
        <v>1.56</v>
      </c>
      <c r="G111" s="16">
        <f>AVERAGE(C111:F111)</f>
        <v>1.5248076923076925</v>
      </c>
    </row>
    <row r="112" spans="1:8" x14ac:dyDescent="0.25">
      <c r="B112" s="35" t="s">
        <v>58</v>
      </c>
      <c r="C112" s="16">
        <v>1.0999999999999845</v>
      </c>
      <c r="D112" s="16">
        <v>1.6601369863013686</v>
      </c>
      <c r="E112" s="44">
        <v>1.0900000000000001</v>
      </c>
      <c r="F112" s="47">
        <v>1.56</v>
      </c>
      <c r="G112" s="16">
        <f>AVERAGE(C112:F112)</f>
        <v>1.3525342465753383</v>
      </c>
    </row>
    <row r="113" spans="1:9" x14ac:dyDescent="0.25">
      <c r="A113" s="4"/>
      <c r="B113" s="81"/>
      <c r="C113" s="81"/>
      <c r="D113" s="81"/>
      <c r="E113" s="81"/>
      <c r="F113" s="81"/>
      <c r="G113" s="81"/>
      <c r="H113" s="81"/>
      <c r="I113" s="81"/>
    </row>
    <row r="114" spans="1:9" x14ac:dyDescent="0.25">
      <c r="B114" s="97" t="s">
        <v>60</v>
      </c>
      <c r="C114" s="97"/>
      <c r="D114" s="97"/>
      <c r="E114" s="97"/>
      <c r="F114" s="97"/>
      <c r="G114" s="97"/>
    </row>
    <row r="115" spans="1:9" x14ac:dyDescent="0.25">
      <c r="B115" s="35" t="s">
        <v>56</v>
      </c>
      <c r="C115" s="16">
        <v>1.2960606060605973</v>
      </c>
      <c r="D115" s="16">
        <v>1.6854794520547949</v>
      </c>
      <c r="E115" s="47">
        <v>1.59</v>
      </c>
      <c r="F115" s="16">
        <v>1.64</v>
      </c>
      <c r="G115" s="16">
        <f>AVERAGE(C115:F115)</f>
        <v>1.552885014528848</v>
      </c>
    </row>
    <row r="116" spans="1:9" x14ac:dyDescent="0.25">
      <c r="B116" s="35" t="s">
        <v>57</v>
      </c>
      <c r="C116" s="16">
        <v>1.3900000000000023</v>
      </c>
      <c r="D116" s="16">
        <v>1.6855445544554462</v>
      </c>
      <c r="E116" s="47">
        <v>1.55</v>
      </c>
      <c r="F116" s="16">
        <v>1.64</v>
      </c>
      <c r="G116" s="16">
        <f>AVERAGE(C116:F116)</f>
        <v>1.566386138613862</v>
      </c>
    </row>
    <row r="117" spans="1:9" x14ac:dyDescent="0.25">
      <c r="B117" s="35" t="s">
        <v>58</v>
      </c>
      <c r="C117" s="16">
        <v>1.3669977168949896</v>
      </c>
      <c r="D117" s="16">
        <v>1.6851582045621993</v>
      </c>
      <c r="E117" s="47">
        <v>1.37</v>
      </c>
      <c r="F117" s="16">
        <v>1.64</v>
      </c>
      <c r="G117" s="16">
        <f>AVERAGE(C117:F117)</f>
        <v>1.5155389803642971</v>
      </c>
    </row>
    <row r="118" spans="1:9" x14ac:dyDescent="0.25">
      <c r="B118" s="102" t="s">
        <v>61</v>
      </c>
      <c r="C118" s="103"/>
      <c r="D118" s="103"/>
      <c r="E118" s="103"/>
      <c r="F118" s="103"/>
      <c r="G118" s="104"/>
    </row>
    <row r="119" spans="1:9" x14ac:dyDescent="0.25">
      <c r="B119" s="35" t="s">
        <v>56</v>
      </c>
      <c r="C119" s="16">
        <v>0</v>
      </c>
      <c r="D119" s="16">
        <v>1.1927499999999998</v>
      </c>
      <c r="E119" s="36">
        <v>0</v>
      </c>
      <c r="F119" s="16">
        <v>0.99</v>
      </c>
      <c r="G119" s="16">
        <f>AVERAGE(C119:F119)</f>
        <v>0.54568749999999988</v>
      </c>
    </row>
    <row r="120" spans="1:9" x14ac:dyDescent="0.25">
      <c r="B120" s="35" t="s">
        <v>57</v>
      </c>
      <c r="C120" s="16">
        <v>0.99</v>
      </c>
      <c r="D120" s="16">
        <v>1.1927499999999998</v>
      </c>
      <c r="E120" s="44">
        <v>1.1000000000000001</v>
      </c>
      <c r="F120" s="16">
        <v>1.3900000000000023</v>
      </c>
      <c r="G120" s="16">
        <f>AVERAGE(C120:F120)</f>
        <v>1.1681875000000006</v>
      </c>
    </row>
    <row r="121" spans="1:9" x14ac:dyDescent="0.25">
      <c r="B121" s="35" t="s">
        <v>58</v>
      </c>
      <c r="C121" s="16">
        <v>0.98999999999999988</v>
      </c>
      <c r="D121" s="16">
        <v>1.1927499999999998</v>
      </c>
      <c r="E121" s="44">
        <v>0.98</v>
      </c>
      <c r="F121" s="16">
        <v>1.39</v>
      </c>
      <c r="G121" s="16">
        <f>AVERAGE(C121:F121)</f>
        <v>1.1381874999999999</v>
      </c>
    </row>
    <row r="122" spans="1:9" x14ac:dyDescent="0.25">
      <c r="A122" s="4"/>
      <c r="B122" s="81"/>
      <c r="C122" s="81"/>
      <c r="D122" s="81"/>
      <c r="E122" s="81"/>
      <c r="F122" s="81"/>
      <c r="G122" s="81"/>
      <c r="H122" s="81"/>
    </row>
    <row r="123" spans="1:9" x14ac:dyDescent="0.25">
      <c r="B123" s="88" t="s">
        <v>62</v>
      </c>
      <c r="C123" s="89"/>
      <c r="D123" s="89"/>
      <c r="E123" s="89"/>
      <c r="F123" s="89"/>
      <c r="G123" s="90"/>
    </row>
    <row r="124" spans="1:9" x14ac:dyDescent="0.25">
      <c r="B124" s="2" t="s">
        <v>63</v>
      </c>
      <c r="C124" s="16">
        <v>0</v>
      </c>
      <c r="D124" s="31">
        <v>0</v>
      </c>
      <c r="E124" s="23">
        <v>0</v>
      </c>
      <c r="F124" s="23">
        <v>0</v>
      </c>
      <c r="G124" s="39">
        <f>AVERAGE(C124:F124)</f>
        <v>0</v>
      </c>
      <c r="H124" s="3"/>
    </row>
    <row r="125" spans="1:9" x14ac:dyDescent="0.25">
      <c r="B125" s="88" t="s">
        <v>64</v>
      </c>
      <c r="C125" s="89"/>
      <c r="D125" s="89"/>
      <c r="E125" s="89"/>
      <c r="F125" s="89"/>
      <c r="G125" s="90"/>
    </row>
    <row r="126" spans="1:9" x14ac:dyDescent="0.25">
      <c r="B126" s="5" t="s">
        <v>65</v>
      </c>
      <c r="C126" s="69">
        <v>1.6026355137169099</v>
      </c>
      <c r="D126" s="69">
        <v>1.9514409305681999</v>
      </c>
      <c r="E126" s="69">
        <v>1.956448</v>
      </c>
      <c r="F126" s="14">
        <v>0</v>
      </c>
      <c r="G126" s="39">
        <f>AVERAGE(C126:F126)</f>
        <v>1.3776311110712776</v>
      </c>
    </row>
    <row r="127" spans="1:9" x14ac:dyDescent="0.25">
      <c r="A127" s="4"/>
      <c r="B127" s="105"/>
      <c r="C127" s="105"/>
      <c r="D127" s="105"/>
      <c r="E127" s="105"/>
      <c r="F127" s="105"/>
      <c r="G127" s="105"/>
      <c r="H127" s="105"/>
    </row>
    <row r="128" spans="1:9" x14ac:dyDescent="0.25">
      <c r="B128" s="95" t="s">
        <v>66</v>
      </c>
      <c r="C128" s="95"/>
      <c r="D128" s="95"/>
      <c r="E128" s="95"/>
      <c r="F128" s="95"/>
      <c r="G128" s="95"/>
    </row>
    <row r="129" spans="1:9" x14ac:dyDescent="0.25">
      <c r="B129" s="35" t="s">
        <v>67</v>
      </c>
      <c r="C129" s="40">
        <v>303497</v>
      </c>
      <c r="D129" s="40">
        <v>6928</v>
      </c>
      <c r="E129" s="40">
        <v>8626</v>
      </c>
      <c r="F129" s="40">
        <v>1076</v>
      </c>
      <c r="G129" s="38">
        <f>SUM(C129:F129)</f>
        <v>320127</v>
      </c>
    </row>
    <row r="130" spans="1:9" x14ac:dyDescent="0.25">
      <c r="B130" s="35" t="s">
        <v>68</v>
      </c>
      <c r="C130" s="40">
        <v>208429.83840400001</v>
      </c>
      <c r="D130" s="40">
        <v>4662.9418949999999</v>
      </c>
      <c r="E130" s="40">
        <v>1309</v>
      </c>
      <c r="F130" s="38">
        <v>1384.3764610000001</v>
      </c>
      <c r="G130" s="13">
        <f>SUM(C130:F130)</f>
        <v>215786.15676000001</v>
      </c>
    </row>
    <row r="131" spans="1:9" x14ac:dyDescent="0.25">
      <c r="A131" s="4"/>
      <c r="B131" s="81"/>
      <c r="C131" s="81"/>
      <c r="D131" s="81"/>
      <c r="E131" s="81"/>
      <c r="F131" s="81"/>
      <c r="G131" s="81"/>
      <c r="H131" s="81"/>
    </row>
    <row r="132" spans="1:9" x14ac:dyDescent="0.25">
      <c r="B132" s="95" t="s">
        <v>69</v>
      </c>
      <c r="C132" s="95"/>
      <c r="D132" s="95"/>
      <c r="E132" s="95"/>
      <c r="F132" s="95"/>
      <c r="G132" s="95"/>
    </row>
    <row r="133" spans="1:9" x14ac:dyDescent="0.25">
      <c r="B133" s="35" t="s">
        <v>70</v>
      </c>
      <c r="C133" s="40">
        <v>622082</v>
      </c>
      <c r="D133" s="40">
        <v>140556</v>
      </c>
      <c r="E133" s="40">
        <f>104019+25873</f>
        <v>129892</v>
      </c>
      <c r="F133" s="40">
        <v>318266</v>
      </c>
      <c r="G133" s="38">
        <f>SUM(C133:F133)</f>
        <v>1210796</v>
      </c>
    </row>
    <row r="134" spans="1:9" x14ac:dyDescent="0.25">
      <c r="A134" s="4"/>
      <c r="B134" s="81"/>
      <c r="C134" s="81"/>
      <c r="D134" s="81"/>
      <c r="E134" s="81"/>
      <c r="F134" s="81"/>
      <c r="G134" s="81"/>
      <c r="H134" s="81"/>
    </row>
    <row r="135" spans="1:9" ht="21" x14ac:dyDescent="0.35">
      <c r="B135" s="106" t="s">
        <v>71</v>
      </c>
      <c r="C135" s="106"/>
      <c r="D135" s="106"/>
      <c r="E135" s="106"/>
      <c r="F135" s="106"/>
      <c r="G135" s="106"/>
    </row>
    <row r="136" spans="1:9" x14ac:dyDescent="0.25">
      <c r="B136" s="95" t="s">
        <v>72</v>
      </c>
      <c r="C136" s="95"/>
      <c r="D136" s="95"/>
      <c r="E136" s="95"/>
      <c r="F136" s="95"/>
      <c r="G136" s="95"/>
    </row>
    <row r="137" spans="1:9" x14ac:dyDescent="0.25">
      <c r="B137" s="35" t="s">
        <v>73</v>
      </c>
      <c r="C137" s="38">
        <v>0</v>
      </c>
      <c r="D137" s="40">
        <v>5587</v>
      </c>
      <c r="E137" s="38">
        <v>0</v>
      </c>
      <c r="F137" s="38">
        <v>15620</v>
      </c>
      <c r="G137" s="40">
        <f>SUM(C137:F137)</f>
        <v>21207</v>
      </c>
      <c r="H137" s="9"/>
      <c r="I137" s="9"/>
    </row>
    <row r="138" spans="1:9" x14ac:dyDescent="0.25">
      <c r="B138" s="35" t="s">
        <v>74</v>
      </c>
      <c r="C138" s="38">
        <v>0</v>
      </c>
      <c r="D138" s="40">
        <v>4</v>
      </c>
      <c r="E138" s="38">
        <v>0</v>
      </c>
      <c r="F138" s="38">
        <v>185</v>
      </c>
      <c r="G138" s="40">
        <f>SUM(C138:F138)</f>
        <v>189</v>
      </c>
      <c r="H138" s="9"/>
      <c r="I138" s="9"/>
    </row>
    <row r="139" spans="1:9" x14ac:dyDescent="0.25">
      <c r="A139" s="4"/>
      <c r="B139" s="81"/>
      <c r="C139" s="81"/>
      <c r="D139" s="81"/>
      <c r="E139" s="81"/>
      <c r="F139" s="81"/>
      <c r="G139" s="81"/>
      <c r="H139" s="81"/>
      <c r="I139" s="9"/>
    </row>
    <row r="140" spans="1:9" x14ac:dyDescent="0.25">
      <c r="B140" s="88" t="s">
        <v>75</v>
      </c>
      <c r="C140" s="89"/>
      <c r="D140" s="89"/>
      <c r="E140" s="89"/>
      <c r="F140" s="89"/>
      <c r="G140" s="90"/>
      <c r="I140" s="9"/>
    </row>
    <row r="141" spans="1:9" x14ac:dyDescent="0.25">
      <c r="B141" s="35" t="s">
        <v>76</v>
      </c>
      <c r="C141" s="38">
        <v>0</v>
      </c>
      <c r="D141" s="40">
        <v>0</v>
      </c>
      <c r="E141" s="38">
        <v>0</v>
      </c>
      <c r="F141" s="23">
        <v>0</v>
      </c>
      <c r="G141" s="40">
        <f>SUM(C141:F141)</f>
        <v>0</v>
      </c>
      <c r="H141" s="9"/>
      <c r="I141" s="9"/>
    </row>
    <row r="142" spans="1:9" x14ac:dyDescent="0.25">
      <c r="A142" s="4"/>
      <c r="B142" s="81"/>
      <c r="C142" s="81"/>
      <c r="D142" s="81"/>
      <c r="E142" s="81"/>
      <c r="F142" s="81"/>
      <c r="G142" s="81"/>
      <c r="H142" s="81"/>
    </row>
    <row r="143" spans="1:9" ht="21" x14ac:dyDescent="0.35">
      <c r="B143" s="85" t="s">
        <v>77</v>
      </c>
      <c r="C143" s="86"/>
      <c r="D143" s="86"/>
      <c r="E143" s="86"/>
      <c r="F143" s="86"/>
      <c r="G143" s="87"/>
    </row>
    <row r="144" spans="1:9" x14ac:dyDescent="0.25">
      <c r="B144" s="88" t="s">
        <v>78</v>
      </c>
      <c r="C144" s="89"/>
      <c r="D144" s="89"/>
      <c r="E144" s="89"/>
      <c r="F144" s="89"/>
      <c r="G144" s="90"/>
    </row>
    <row r="145" spans="1:8" x14ac:dyDescent="0.25">
      <c r="A145" s="4"/>
      <c r="B145" s="107"/>
      <c r="C145" s="107"/>
      <c r="D145" s="107"/>
      <c r="E145" s="107"/>
      <c r="F145" s="107"/>
      <c r="G145" s="107"/>
      <c r="H145" s="107"/>
    </row>
    <row r="146" spans="1:8" x14ac:dyDescent="0.25">
      <c r="B146" s="98" t="s">
        <v>79</v>
      </c>
      <c r="C146" s="98"/>
      <c r="D146" s="98"/>
      <c r="E146" s="98"/>
      <c r="F146" s="98"/>
      <c r="G146" s="98"/>
    </row>
    <row r="147" spans="1:8" x14ac:dyDescent="0.25">
      <c r="B147" s="35" t="s">
        <v>80</v>
      </c>
      <c r="C147" s="40">
        <v>0</v>
      </c>
      <c r="D147" s="40">
        <v>1100</v>
      </c>
      <c r="E147" s="57">
        <v>0</v>
      </c>
      <c r="F147" s="1">
        <v>233</v>
      </c>
      <c r="G147" s="38">
        <f>SUM(C147:F147)</f>
        <v>1333</v>
      </c>
    </row>
    <row r="148" spans="1:8" x14ac:dyDescent="0.25">
      <c r="B148" s="35" t="s">
        <v>81</v>
      </c>
      <c r="C148" s="40">
        <v>0</v>
      </c>
      <c r="D148" s="40">
        <v>22.055499999999999</v>
      </c>
      <c r="E148" s="57">
        <v>0</v>
      </c>
      <c r="F148" s="42">
        <v>3.0902500000000002</v>
      </c>
      <c r="G148" s="13">
        <f>SUM(C148:F148)</f>
        <v>25.14575</v>
      </c>
    </row>
    <row r="149" spans="1:8" x14ac:dyDescent="0.25">
      <c r="A149" s="4"/>
      <c r="B149" s="81"/>
      <c r="C149" s="81"/>
      <c r="D149" s="81"/>
      <c r="E149" s="81"/>
      <c r="F149" s="81"/>
      <c r="G149" s="81"/>
      <c r="H149" s="81"/>
    </row>
    <row r="150" spans="1:8" x14ac:dyDescent="0.25">
      <c r="B150" s="98" t="s">
        <v>82</v>
      </c>
      <c r="C150" s="98"/>
      <c r="D150" s="98"/>
      <c r="E150" s="98"/>
      <c r="F150" s="98"/>
      <c r="G150" s="98"/>
    </row>
    <row r="151" spans="1:8" x14ac:dyDescent="0.25">
      <c r="B151" s="35" t="s">
        <v>83</v>
      </c>
      <c r="C151" s="35">
        <v>0</v>
      </c>
      <c r="D151" s="15">
        <v>10</v>
      </c>
      <c r="E151" s="67">
        <v>9</v>
      </c>
      <c r="F151" s="33">
        <v>0</v>
      </c>
      <c r="G151" s="38">
        <f>SUM(C151:F151)</f>
        <v>19</v>
      </c>
      <c r="H151" s="26"/>
    </row>
    <row r="152" spans="1:8" x14ac:dyDescent="0.25">
      <c r="B152" s="35" t="s">
        <v>84</v>
      </c>
      <c r="C152" s="35">
        <v>0</v>
      </c>
      <c r="D152" s="15">
        <v>0.375</v>
      </c>
      <c r="E152" s="68">
        <f>225000/1000000</f>
        <v>0.22500000000000001</v>
      </c>
      <c r="F152" s="33">
        <v>0</v>
      </c>
      <c r="G152" s="13">
        <f>SUM(C152:F152)</f>
        <v>0.6</v>
      </c>
      <c r="H152" s="26"/>
    </row>
    <row r="153" spans="1:8" x14ac:dyDescent="0.25">
      <c r="A153" s="4"/>
      <c r="B153" s="81"/>
      <c r="C153" s="81"/>
      <c r="D153" s="81"/>
      <c r="E153" s="81"/>
      <c r="F153" s="81"/>
      <c r="G153" s="81"/>
      <c r="H153" s="81"/>
    </row>
    <row r="154" spans="1:8" x14ac:dyDescent="0.25">
      <c r="B154" s="98" t="s">
        <v>85</v>
      </c>
      <c r="C154" s="98"/>
      <c r="D154" s="98"/>
      <c r="E154" s="98"/>
      <c r="F154" s="98"/>
      <c r="G154" s="98"/>
    </row>
    <row r="155" spans="1:8" x14ac:dyDescent="0.25">
      <c r="B155" s="35" t="s">
        <v>86</v>
      </c>
      <c r="C155" s="35">
        <v>0</v>
      </c>
      <c r="D155" s="40">
        <v>44</v>
      </c>
      <c r="E155" s="57">
        <v>0</v>
      </c>
      <c r="F155" s="50">
        <v>0</v>
      </c>
      <c r="G155" s="38">
        <f>SUM(C155:F155)</f>
        <v>44</v>
      </c>
      <c r="H155" s="26"/>
    </row>
    <row r="156" spans="1:8" x14ac:dyDescent="0.25">
      <c r="B156" s="35" t="s">
        <v>87</v>
      </c>
      <c r="C156" s="13">
        <v>0</v>
      </c>
      <c r="D156" s="40">
        <v>0.69</v>
      </c>
      <c r="E156" s="57">
        <v>0</v>
      </c>
      <c r="F156" s="50">
        <v>0</v>
      </c>
      <c r="G156" s="13">
        <f>SUM(C156:F156)</f>
        <v>0.69</v>
      </c>
      <c r="H156" s="26"/>
    </row>
    <row r="157" spans="1:8" x14ac:dyDescent="0.25">
      <c r="A157" s="4"/>
      <c r="B157" s="81"/>
      <c r="C157" s="81"/>
      <c r="D157" s="81"/>
      <c r="E157" s="81"/>
      <c r="F157" s="81"/>
      <c r="G157" s="81"/>
      <c r="H157" s="81"/>
    </row>
    <row r="158" spans="1:8" x14ac:dyDescent="0.25">
      <c r="B158" s="98" t="s">
        <v>88</v>
      </c>
      <c r="C158" s="98"/>
      <c r="D158" s="98"/>
      <c r="E158" s="98"/>
      <c r="F158" s="98"/>
      <c r="G158" s="98"/>
    </row>
    <row r="159" spans="1:8" x14ac:dyDescent="0.25">
      <c r="B159" s="21" t="s">
        <v>89</v>
      </c>
      <c r="C159" s="22">
        <v>0</v>
      </c>
      <c r="D159" s="45">
        <v>1154</v>
      </c>
      <c r="E159" s="45">
        <f>+E155+E151+E147</f>
        <v>9</v>
      </c>
      <c r="F159" s="22">
        <v>233</v>
      </c>
      <c r="G159" s="22">
        <f>SUM(C159:F159)</f>
        <v>1396</v>
      </c>
    </row>
    <row r="160" spans="1:8" x14ac:dyDescent="0.25">
      <c r="B160" s="21" t="s">
        <v>90</v>
      </c>
      <c r="C160" s="22">
        <v>0</v>
      </c>
      <c r="D160" s="45">
        <v>23.1205</v>
      </c>
      <c r="E160" s="45">
        <f>+E156+E152+E148</f>
        <v>0.22500000000000001</v>
      </c>
      <c r="F160" s="22">
        <v>3.2102500000000003</v>
      </c>
      <c r="G160" s="25">
        <f>SUM(C160:F160)</f>
        <v>26.555750000000003</v>
      </c>
    </row>
    <row r="161" spans="1:8" x14ac:dyDescent="0.25">
      <c r="A161" s="4"/>
      <c r="B161" s="81"/>
      <c r="C161" s="81"/>
      <c r="D161" s="81"/>
      <c r="E161" s="81"/>
      <c r="F161" s="81"/>
      <c r="G161" s="81"/>
      <c r="H161" s="81"/>
    </row>
    <row r="162" spans="1:8" x14ac:dyDescent="0.25">
      <c r="B162" s="95" t="s">
        <v>91</v>
      </c>
      <c r="C162" s="95"/>
      <c r="D162" s="95"/>
      <c r="E162" s="95"/>
      <c r="F162" s="95"/>
      <c r="G162" s="95"/>
    </row>
    <row r="163" spans="1:8" x14ac:dyDescent="0.25">
      <c r="B163" s="17" t="s">
        <v>86</v>
      </c>
      <c r="C163" s="40">
        <v>2648</v>
      </c>
      <c r="D163" s="40">
        <v>38193</v>
      </c>
      <c r="E163" s="40">
        <v>3227</v>
      </c>
      <c r="F163" s="38">
        <v>16700</v>
      </c>
      <c r="G163" s="38">
        <f>SUM(C163:F163)</f>
        <v>60768</v>
      </c>
    </row>
    <row r="164" spans="1:8" x14ac:dyDescent="0.25">
      <c r="B164" s="17" t="s">
        <v>87</v>
      </c>
      <c r="C164" s="40">
        <f>58433474/1000000</f>
        <v>58.433473999999997</v>
      </c>
      <c r="D164" s="40">
        <v>181.476551</v>
      </c>
      <c r="E164" s="40">
        <f>47730646/1000000</f>
        <v>47.730646</v>
      </c>
      <c r="F164" s="38">
        <v>96.448132999999999</v>
      </c>
      <c r="G164" s="13">
        <f>SUM(C164:F164)</f>
        <v>384.08880399999998</v>
      </c>
    </row>
    <row r="165" spans="1:8" x14ac:dyDescent="0.25">
      <c r="A165" s="4"/>
      <c r="B165" s="81"/>
      <c r="C165" s="81"/>
      <c r="D165" s="81"/>
      <c r="E165" s="81"/>
      <c r="F165" s="81"/>
      <c r="G165" s="81"/>
    </row>
    <row r="166" spans="1:8" x14ac:dyDescent="0.25">
      <c r="B166" s="88" t="s">
        <v>92</v>
      </c>
      <c r="C166" s="89"/>
      <c r="D166" s="89"/>
      <c r="E166" s="89"/>
      <c r="F166" s="89"/>
      <c r="G166" s="90"/>
    </row>
    <row r="167" spans="1:8" x14ac:dyDescent="0.25">
      <c r="B167" s="91" t="s">
        <v>93</v>
      </c>
      <c r="C167" s="92"/>
      <c r="D167" s="92"/>
      <c r="E167" s="92"/>
      <c r="F167" s="92"/>
      <c r="G167" s="93"/>
    </row>
    <row r="168" spans="1:8" x14ac:dyDescent="0.25">
      <c r="B168" s="35" t="s">
        <v>94</v>
      </c>
      <c r="C168" s="40">
        <v>159</v>
      </c>
      <c r="D168" s="40">
        <v>2505</v>
      </c>
      <c r="E168" s="40">
        <v>40</v>
      </c>
      <c r="F168" s="35">
        <v>455</v>
      </c>
      <c r="G168" s="38">
        <f>SUM(C168:F168)</f>
        <v>3159</v>
      </c>
    </row>
    <row r="169" spans="1:8" x14ac:dyDescent="0.25">
      <c r="B169" s="35" t="s">
        <v>95</v>
      </c>
      <c r="C169" s="40">
        <f>3975000/1000000</f>
        <v>3.9750000000000001</v>
      </c>
      <c r="D169" s="40">
        <v>37.325000000000003</v>
      </c>
      <c r="E169" s="40">
        <f>935000/1000000</f>
        <v>0.93500000000000005</v>
      </c>
      <c r="F169" s="38">
        <v>17.05</v>
      </c>
      <c r="G169" s="13">
        <f>SUM(C169:F169)</f>
        <v>59.285000000000011</v>
      </c>
    </row>
    <row r="170" spans="1:8" x14ac:dyDescent="0.25">
      <c r="A170" s="4"/>
      <c r="B170" s="81"/>
      <c r="C170" s="81"/>
      <c r="D170" s="81"/>
      <c r="E170" s="81"/>
      <c r="F170" s="81"/>
      <c r="G170" s="81"/>
    </row>
    <row r="171" spans="1:8" x14ac:dyDescent="0.25">
      <c r="B171" s="91" t="s">
        <v>96</v>
      </c>
      <c r="C171" s="92"/>
      <c r="D171" s="92"/>
      <c r="E171" s="92"/>
      <c r="F171" s="92"/>
      <c r="G171" s="93"/>
    </row>
    <row r="172" spans="1:8" x14ac:dyDescent="0.25">
      <c r="B172" s="35" t="s">
        <v>97</v>
      </c>
      <c r="C172" s="54">
        <v>795</v>
      </c>
      <c r="D172" s="40">
        <v>420</v>
      </c>
      <c r="E172" s="67">
        <v>116</v>
      </c>
      <c r="F172" s="35">
        <v>277</v>
      </c>
      <c r="G172" s="38">
        <f>SUM(C172:F172)</f>
        <v>1608</v>
      </c>
    </row>
    <row r="173" spans="1:8" x14ac:dyDescent="0.25">
      <c r="B173" s="35" t="s">
        <v>95</v>
      </c>
      <c r="C173" s="70">
        <f>17490000/1000000</f>
        <v>17.489999999999998</v>
      </c>
      <c r="D173" s="40">
        <v>8.7360000000000007</v>
      </c>
      <c r="E173" s="68">
        <f>2900000/1000000</f>
        <v>2.9</v>
      </c>
      <c r="F173" s="38">
        <v>6.1070000000000002</v>
      </c>
      <c r="G173" s="13">
        <f>SUM(C173:F173)</f>
        <v>35.232999999999997</v>
      </c>
    </row>
    <row r="174" spans="1:8" x14ac:dyDescent="0.25">
      <c r="A174" s="4"/>
      <c r="B174" s="81"/>
      <c r="C174" s="81"/>
      <c r="D174" s="81"/>
      <c r="E174" s="81"/>
      <c r="F174" s="81"/>
      <c r="G174" s="81"/>
      <c r="H174" s="81"/>
    </row>
    <row r="175" spans="1:8" x14ac:dyDescent="0.25">
      <c r="B175" s="91" t="s">
        <v>98</v>
      </c>
      <c r="C175" s="92"/>
      <c r="D175" s="92"/>
      <c r="E175" s="92"/>
      <c r="F175" s="92"/>
      <c r="G175" s="93"/>
    </row>
    <row r="176" spans="1:8" x14ac:dyDescent="0.25">
      <c r="B176" s="35" t="s">
        <v>97</v>
      </c>
      <c r="C176" s="40">
        <v>252</v>
      </c>
      <c r="D176" s="40">
        <v>323</v>
      </c>
      <c r="E176" s="40">
        <v>171</v>
      </c>
      <c r="F176" s="35">
        <v>39</v>
      </c>
      <c r="G176" s="38">
        <f>SUM(C176:F176)</f>
        <v>785</v>
      </c>
    </row>
    <row r="177" spans="1:8" x14ac:dyDescent="0.25">
      <c r="B177" s="35" t="s">
        <v>95</v>
      </c>
      <c r="C177" s="40">
        <f>17640000/1000000</f>
        <v>17.64</v>
      </c>
      <c r="D177" s="40">
        <v>34.25</v>
      </c>
      <c r="E177" s="40">
        <f>9524183/1000000</f>
        <v>9.5241830000000007</v>
      </c>
      <c r="F177" s="38">
        <v>4.03</v>
      </c>
      <c r="G177" s="13">
        <f>SUM(C177:F177)</f>
        <v>65.444182999999995</v>
      </c>
    </row>
    <row r="178" spans="1:8" x14ac:dyDescent="0.25">
      <c r="A178" s="4"/>
      <c r="B178" s="81"/>
      <c r="C178" s="81"/>
      <c r="D178" s="81"/>
      <c r="E178" s="81"/>
      <c r="F178" s="81"/>
      <c r="G178" s="81"/>
      <c r="H178" s="81"/>
    </row>
    <row r="179" spans="1:8" x14ac:dyDescent="0.25">
      <c r="B179" s="91" t="s">
        <v>99</v>
      </c>
      <c r="C179" s="92"/>
      <c r="D179" s="92"/>
      <c r="E179" s="92"/>
      <c r="F179" s="92"/>
      <c r="G179" s="93"/>
    </row>
    <row r="180" spans="1:8" x14ac:dyDescent="0.25">
      <c r="B180" s="35" t="s">
        <v>97</v>
      </c>
      <c r="C180" s="40">
        <v>358</v>
      </c>
      <c r="D180" s="40">
        <v>68838</v>
      </c>
      <c r="E180" s="28">
        <v>0</v>
      </c>
      <c r="F180" s="40">
        <v>0</v>
      </c>
      <c r="G180" s="38">
        <f>SUM(C180:F180)</f>
        <v>69196</v>
      </c>
    </row>
    <row r="181" spans="1:8" x14ac:dyDescent="0.25">
      <c r="B181" s="35" t="s">
        <v>95</v>
      </c>
      <c r="C181" s="40">
        <f>10880000/1000000</f>
        <v>10.88</v>
      </c>
      <c r="D181" s="40">
        <v>2695</v>
      </c>
      <c r="E181" s="28">
        <v>0</v>
      </c>
      <c r="F181" s="13">
        <v>0</v>
      </c>
      <c r="G181" s="13">
        <f>SUM(C181:F181)</f>
        <v>2705.88</v>
      </c>
    </row>
    <row r="182" spans="1:8" x14ac:dyDescent="0.25">
      <c r="A182" s="4"/>
      <c r="B182" s="81"/>
      <c r="C182" s="81"/>
      <c r="D182" s="81"/>
      <c r="E182" s="81"/>
      <c r="F182" s="81"/>
      <c r="G182" s="81"/>
      <c r="H182" s="81"/>
    </row>
    <row r="183" spans="1:8" x14ac:dyDescent="0.25">
      <c r="B183" s="95" t="s">
        <v>100</v>
      </c>
      <c r="C183" s="95"/>
      <c r="D183" s="95"/>
      <c r="E183" s="95"/>
      <c r="F183" s="95"/>
      <c r="G183" s="95"/>
    </row>
    <row r="184" spans="1:8" x14ac:dyDescent="0.25">
      <c r="B184" s="21" t="s">
        <v>101</v>
      </c>
      <c r="C184" s="45">
        <f>+C180+C176+C172+C168</f>
        <v>1564</v>
      </c>
      <c r="D184" s="45">
        <v>71883</v>
      </c>
      <c r="E184" s="45">
        <f t="shared" ref="E184:E185" si="5">+E180+E176+E172+E168</f>
        <v>327</v>
      </c>
      <c r="F184" s="22">
        <f>+F168+F172+F176+F180</f>
        <v>771</v>
      </c>
      <c r="G184" s="22">
        <f>SUM(C184:F184)</f>
        <v>74545</v>
      </c>
    </row>
    <row r="185" spans="1:8" x14ac:dyDescent="0.25">
      <c r="B185" s="21" t="s">
        <v>102</v>
      </c>
      <c r="C185" s="45">
        <f>+C181+C177+C173+C169</f>
        <v>49.985000000000007</v>
      </c>
      <c r="D185" s="45">
        <v>86.665354000000008</v>
      </c>
      <c r="E185" s="45">
        <f t="shared" si="5"/>
        <v>13.359183000000002</v>
      </c>
      <c r="F185" s="22">
        <f>+F169+F173+F177+F181</f>
        <v>27.187000000000001</v>
      </c>
      <c r="G185" s="25">
        <f>SUM(C185:F185)</f>
        <v>177.19653700000003</v>
      </c>
    </row>
    <row r="186" spans="1:8" x14ac:dyDescent="0.25">
      <c r="A186" s="4"/>
      <c r="B186" s="81"/>
      <c r="C186" s="81"/>
      <c r="D186" s="81"/>
      <c r="E186" s="81"/>
      <c r="F186" s="81"/>
      <c r="G186" s="81"/>
      <c r="H186" s="81"/>
    </row>
    <row r="187" spans="1:8" x14ac:dyDescent="0.25">
      <c r="B187" s="95" t="s">
        <v>103</v>
      </c>
      <c r="C187" s="95"/>
      <c r="D187" s="95"/>
      <c r="E187" s="95"/>
      <c r="F187" s="95"/>
      <c r="G187" s="95"/>
    </row>
    <row r="188" spans="1:8" x14ac:dyDescent="0.25">
      <c r="B188" s="17" t="s">
        <v>104</v>
      </c>
      <c r="C188" s="40">
        <v>823</v>
      </c>
      <c r="D188" s="40">
        <v>33</v>
      </c>
      <c r="E188" s="40">
        <v>55</v>
      </c>
      <c r="F188" s="38">
        <v>17704</v>
      </c>
      <c r="G188" s="38">
        <f>SUM(C188:F188)</f>
        <v>18615</v>
      </c>
    </row>
    <row r="189" spans="1:8" x14ac:dyDescent="0.25">
      <c r="B189" s="17" t="s">
        <v>105</v>
      </c>
      <c r="C189" s="40">
        <f>8796798/1000000</f>
        <v>8.7967980000000008</v>
      </c>
      <c r="D189" s="40">
        <v>1.1120000000000001</v>
      </c>
      <c r="E189" s="40">
        <f>2250000/1000000</f>
        <v>2.25</v>
      </c>
      <c r="F189" s="38">
        <v>126.845383</v>
      </c>
      <c r="G189" s="13">
        <f>SUM(C189:F189)</f>
        <v>139.00418099999999</v>
      </c>
    </row>
    <row r="190" spans="1:8" x14ac:dyDescent="0.25">
      <c r="A190" s="4"/>
      <c r="B190" s="81"/>
      <c r="C190" s="81"/>
      <c r="D190" s="81"/>
      <c r="E190" s="81"/>
      <c r="F190" s="81"/>
      <c r="G190" s="81"/>
      <c r="H190" s="81"/>
    </row>
    <row r="191" spans="1:8" x14ac:dyDescent="0.25">
      <c r="B191" s="95" t="s">
        <v>106</v>
      </c>
      <c r="C191" s="95"/>
      <c r="D191" s="95"/>
      <c r="E191" s="95"/>
      <c r="F191" s="95"/>
      <c r="G191" s="95"/>
    </row>
    <row r="192" spans="1:8" x14ac:dyDescent="0.25">
      <c r="B192" s="21" t="s">
        <v>107</v>
      </c>
      <c r="C192" s="22">
        <v>5035</v>
      </c>
      <c r="D192" s="45">
        <v>111263</v>
      </c>
      <c r="E192" s="22">
        <f t="shared" ref="E192:E193" si="6">+E188+E184+E163+E159</f>
        <v>3618</v>
      </c>
      <c r="F192" s="22">
        <f>F159+F163+F184+F188</f>
        <v>35408</v>
      </c>
      <c r="G192" s="22">
        <f>SUM(C192:F192)</f>
        <v>155324</v>
      </c>
    </row>
    <row r="193" spans="2:7" x14ac:dyDescent="0.25">
      <c r="B193" s="21" t="s">
        <v>108</v>
      </c>
      <c r="C193" s="22">
        <f>117215272/1000000</f>
        <v>117.215272</v>
      </c>
      <c r="D193" s="45">
        <v>292.37440500000002</v>
      </c>
      <c r="E193" s="22">
        <f t="shared" si="6"/>
        <v>63.564829000000003</v>
      </c>
      <c r="F193" s="22">
        <f>F160+F185+F164+F189</f>
        <v>253.690766</v>
      </c>
      <c r="G193" s="25">
        <f>SUM(C193:F193)</f>
        <v>726.84527200000002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109</v>
      </c>
      <c r="C197" s="10"/>
      <c r="G197" s="9"/>
    </row>
    <row r="198" spans="2:7" x14ac:dyDescent="0.25">
      <c r="B198" t="s">
        <v>113</v>
      </c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9356-7747-4C28-A723-0E2E8AF71D9B}">
  <dimension ref="A1:BD198"/>
  <sheetViews>
    <sheetView topLeftCell="B1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2" t="s">
        <v>1</v>
      </c>
      <c r="D2" s="83"/>
      <c r="E2" s="83"/>
      <c r="F2" s="83"/>
      <c r="G2" s="84"/>
    </row>
    <row r="3" spans="1:7" ht="21" x14ac:dyDescent="0.35">
      <c r="B3" s="1"/>
      <c r="C3" s="7" t="s">
        <v>2</v>
      </c>
      <c r="D3" s="7" t="s">
        <v>3</v>
      </c>
      <c r="E3" s="8" t="s">
        <v>110</v>
      </c>
      <c r="F3" s="7" t="s">
        <v>4</v>
      </c>
      <c r="G3" s="18" t="s">
        <v>5</v>
      </c>
    </row>
    <row r="4" spans="1:7" ht="21" x14ac:dyDescent="0.35">
      <c r="B4" s="85" t="s">
        <v>6</v>
      </c>
      <c r="C4" s="86"/>
      <c r="D4" s="86"/>
      <c r="E4" s="86"/>
      <c r="F4" s="86"/>
      <c r="G4" s="87"/>
    </row>
    <row r="5" spans="1:7" x14ac:dyDescent="0.25">
      <c r="B5" s="88" t="s">
        <v>7</v>
      </c>
      <c r="C5" s="89"/>
      <c r="D5" s="89"/>
      <c r="E5" s="89"/>
      <c r="F5" s="89"/>
      <c r="G5" s="90"/>
    </row>
    <row r="6" spans="1:7" x14ac:dyDescent="0.25">
      <c r="B6" s="6" t="s">
        <v>8</v>
      </c>
      <c r="C6" s="40">
        <v>55358</v>
      </c>
      <c r="D6" s="40">
        <v>8209</v>
      </c>
      <c r="E6" s="20">
        <v>9262</v>
      </c>
      <c r="F6" s="15">
        <v>10632</v>
      </c>
      <c r="G6" s="15">
        <f>+F6+E6+D6+C6</f>
        <v>83461</v>
      </c>
    </row>
    <row r="7" spans="1:7" x14ac:dyDescent="0.25">
      <c r="B7" s="35" t="s">
        <v>9</v>
      </c>
      <c r="C7" s="40">
        <v>530</v>
      </c>
      <c r="D7" s="40">
        <v>231</v>
      </c>
      <c r="E7" s="20">
        <v>11</v>
      </c>
      <c r="F7" s="15">
        <v>129</v>
      </c>
      <c r="G7" s="15">
        <f>+F7+E7+D7+C7</f>
        <v>901</v>
      </c>
    </row>
    <row r="8" spans="1:7" x14ac:dyDescent="0.25">
      <c r="B8" s="21" t="s">
        <v>10</v>
      </c>
      <c r="C8" s="30">
        <f>SUM(C6:C7)</f>
        <v>55888</v>
      </c>
      <c r="D8" s="30">
        <f>+D6+D7</f>
        <v>8440</v>
      </c>
      <c r="E8" s="30">
        <v>9273</v>
      </c>
      <c r="F8" s="30">
        <v>10761</v>
      </c>
      <c r="G8" s="30">
        <f>+F8+E8+D8+C8</f>
        <v>84362</v>
      </c>
    </row>
    <row r="9" spans="1:7" x14ac:dyDescent="0.25">
      <c r="B9" s="81"/>
      <c r="C9" s="81"/>
      <c r="D9" s="81"/>
      <c r="E9" s="81"/>
      <c r="F9" s="81"/>
      <c r="G9" s="81"/>
    </row>
    <row r="10" spans="1:7" x14ac:dyDescent="0.25">
      <c r="B10" s="88" t="s">
        <v>11</v>
      </c>
      <c r="C10" s="89"/>
      <c r="D10" s="89"/>
      <c r="E10" s="89"/>
      <c r="F10" s="89"/>
      <c r="G10" s="90"/>
    </row>
    <row r="11" spans="1:7" x14ac:dyDescent="0.25">
      <c r="B11" s="91" t="s">
        <v>12</v>
      </c>
      <c r="C11" s="92"/>
      <c r="D11" s="92"/>
      <c r="E11" s="92"/>
      <c r="F11" s="92"/>
      <c r="G11" s="93"/>
    </row>
    <row r="12" spans="1:7" x14ac:dyDescent="0.25">
      <c r="B12" s="19" t="s">
        <v>13</v>
      </c>
      <c r="C12" s="15">
        <v>927702</v>
      </c>
      <c r="D12" s="40">
        <v>144158</v>
      </c>
      <c r="E12" s="40">
        <v>55153</v>
      </c>
      <c r="F12" s="20">
        <v>0</v>
      </c>
      <c r="G12" s="20">
        <f>SUM(C12:F12)</f>
        <v>1127013</v>
      </c>
    </row>
    <row r="13" spans="1:7" x14ac:dyDescent="0.25">
      <c r="B13" s="19" t="s">
        <v>14</v>
      </c>
      <c r="C13" s="15">
        <v>2157398</v>
      </c>
      <c r="D13" s="40">
        <v>513136</v>
      </c>
      <c r="E13" s="40">
        <v>215952</v>
      </c>
      <c r="F13" s="20">
        <v>0</v>
      </c>
      <c r="G13" s="20">
        <f>SUM(C13:F13)</f>
        <v>2886486</v>
      </c>
    </row>
    <row r="14" spans="1:7" x14ac:dyDescent="0.25">
      <c r="B14" s="21" t="s">
        <v>15</v>
      </c>
      <c r="C14" s="22">
        <f>C13+C12</f>
        <v>3085100</v>
      </c>
      <c r="D14" s="22">
        <v>917471</v>
      </c>
      <c r="E14" s="22">
        <v>271105</v>
      </c>
      <c r="F14" s="22">
        <v>353817</v>
      </c>
      <c r="G14" s="22">
        <f>SUM(C14:F14)</f>
        <v>4627493</v>
      </c>
    </row>
    <row r="15" spans="1:7" x14ac:dyDescent="0.25">
      <c r="B15" s="21" t="s">
        <v>16</v>
      </c>
      <c r="C15" s="22">
        <v>410898</v>
      </c>
      <c r="D15" s="22">
        <v>142365</v>
      </c>
      <c r="E15" s="22">
        <v>2856</v>
      </c>
      <c r="F15" s="22">
        <v>82692</v>
      </c>
      <c r="G15" s="22">
        <f>SUM(C15:F15)</f>
        <v>638811</v>
      </c>
    </row>
    <row r="16" spans="1:7" x14ac:dyDescent="0.25">
      <c r="B16" s="21" t="s">
        <v>17</v>
      </c>
      <c r="C16" s="22">
        <f>C15+C14</f>
        <v>3495998</v>
      </c>
      <c r="D16" s="22">
        <v>1059836</v>
      </c>
      <c r="E16" s="22">
        <v>273961</v>
      </c>
      <c r="F16" s="22">
        <v>436509</v>
      </c>
      <c r="G16" s="22">
        <f>SUM(C16:F16)</f>
        <v>5266304</v>
      </c>
    </row>
    <row r="17" spans="2:8" x14ac:dyDescent="0.25">
      <c r="B17" s="81"/>
      <c r="C17" s="81"/>
      <c r="D17" s="81"/>
      <c r="E17" s="81"/>
      <c r="F17" s="81"/>
      <c r="G17" s="81"/>
    </row>
    <row r="18" spans="2:8" x14ac:dyDescent="0.25">
      <c r="B18" s="91" t="s">
        <v>18</v>
      </c>
      <c r="C18" s="92"/>
      <c r="D18" s="92"/>
      <c r="E18" s="92"/>
      <c r="F18" s="92"/>
      <c r="G18" s="93"/>
    </row>
    <row r="19" spans="2:8" x14ac:dyDescent="0.25">
      <c r="B19" s="17" t="s">
        <v>19</v>
      </c>
      <c r="C19" s="40">
        <v>3648</v>
      </c>
      <c r="D19" s="40">
        <v>2570</v>
      </c>
      <c r="E19" s="28">
        <v>0</v>
      </c>
      <c r="F19" s="28">
        <v>0</v>
      </c>
      <c r="G19" s="28">
        <f>SUM(C19:F19)</f>
        <v>6218</v>
      </c>
    </row>
    <row r="20" spans="2:8" x14ac:dyDescent="0.25">
      <c r="B20" s="94"/>
      <c r="C20" s="94"/>
      <c r="D20" s="94"/>
      <c r="E20" s="94"/>
      <c r="F20" s="94"/>
      <c r="G20" s="94"/>
    </row>
    <row r="21" spans="2:8" x14ac:dyDescent="0.25">
      <c r="B21" s="21" t="s">
        <v>20</v>
      </c>
      <c r="C21" s="22">
        <f>SUM(C16,C19)</f>
        <v>3499646</v>
      </c>
      <c r="D21" s="22">
        <f>SUM(D19,D16)</f>
        <v>1062406</v>
      </c>
      <c r="E21" s="22">
        <f>+E19+E16</f>
        <v>273961</v>
      </c>
      <c r="F21" s="22">
        <f>SUM(F16,F19)</f>
        <v>436509</v>
      </c>
      <c r="G21" s="22">
        <f>SUM(C21:F21)</f>
        <v>5272522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21</v>
      </c>
      <c r="C23" s="11"/>
      <c r="D23" s="11"/>
      <c r="E23" s="11"/>
      <c r="F23" s="11"/>
      <c r="G23" s="12"/>
    </row>
    <row r="24" spans="2:8" x14ac:dyDescent="0.25">
      <c r="B24" s="21" t="s">
        <v>22</v>
      </c>
      <c r="C24" s="22">
        <v>407814</v>
      </c>
      <c r="D24" s="22">
        <v>219967</v>
      </c>
      <c r="E24" s="22">
        <v>135488</v>
      </c>
      <c r="F24" s="22">
        <v>669266</v>
      </c>
      <c r="G24" s="22">
        <f>SUM(C24:F24)</f>
        <v>1432535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23</v>
      </c>
      <c r="C26" s="11"/>
      <c r="D26" s="11"/>
      <c r="E26" s="11"/>
      <c r="F26" s="11"/>
      <c r="G26" s="12"/>
    </row>
    <row r="27" spans="2:8" x14ac:dyDescent="0.25">
      <c r="B27" s="21" t="s">
        <v>24</v>
      </c>
      <c r="C27" s="22">
        <f>SUM(C21,C24)</f>
        <v>3907460</v>
      </c>
      <c r="D27" s="22">
        <f>SUM(D21,D24)</f>
        <v>1282373</v>
      </c>
      <c r="E27" s="22">
        <f>+E21+E24</f>
        <v>409449</v>
      </c>
      <c r="F27" s="22">
        <f>+F24+F21</f>
        <v>1105775</v>
      </c>
      <c r="G27" s="22">
        <f>SUM(C27:F27)</f>
        <v>6705057</v>
      </c>
    </row>
    <row r="28" spans="2:8" x14ac:dyDescent="0.25">
      <c r="B28" s="81"/>
      <c r="C28" s="81"/>
      <c r="D28" s="81"/>
      <c r="E28" s="81"/>
      <c r="F28" s="81"/>
      <c r="G28" s="81"/>
      <c r="H28" s="81"/>
    </row>
    <row r="29" spans="2:8" x14ac:dyDescent="0.25">
      <c r="B29" s="88" t="s">
        <v>25</v>
      </c>
      <c r="C29" s="89"/>
      <c r="D29" s="89"/>
      <c r="E29" s="89"/>
      <c r="F29" s="89"/>
      <c r="G29" s="90"/>
    </row>
    <row r="30" spans="2:8" x14ac:dyDescent="0.25">
      <c r="B30" s="35" t="s">
        <v>26</v>
      </c>
      <c r="C30" s="40">
        <v>1304970</v>
      </c>
      <c r="D30" s="40">
        <v>234360</v>
      </c>
      <c r="E30" s="40">
        <v>93446</v>
      </c>
      <c r="F30" s="40">
        <v>206817</v>
      </c>
      <c r="G30" s="40">
        <f>SUM(C30:F30)</f>
        <v>1839593</v>
      </c>
    </row>
    <row r="31" spans="2:8" x14ac:dyDescent="0.25">
      <c r="B31" s="81"/>
      <c r="C31" s="81"/>
      <c r="D31" s="81"/>
      <c r="E31" s="81"/>
      <c r="F31" s="81"/>
      <c r="G31" s="81"/>
      <c r="H31" s="81"/>
    </row>
    <row r="32" spans="2:8" x14ac:dyDescent="0.25">
      <c r="B32" s="88" t="s">
        <v>27</v>
      </c>
      <c r="C32" s="89"/>
      <c r="D32" s="89"/>
      <c r="E32" s="89"/>
      <c r="F32" s="89"/>
      <c r="G32" s="90"/>
    </row>
    <row r="33" spans="1:9" x14ac:dyDescent="0.25">
      <c r="B33" s="35" t="s">
        <v>28</v>
      </c>
      <c r="C33" s="40">
        <v>2828768936569</v>
      </c>
      <c r="D33" s="40">
        <v>492338210227</v>
      </c>
      <c r="E33" s="40">
        <v>201066318672</v>
      </c>
      <c r="F33" s="40">
        <v>295388261092</v>
      </c>
      <c r="G33" s="40">
        <f>SUM(C33:F33)</f>
        <v>3817561726560</v>
      </c>
    </row>
    <row r="34" spans="1:9" x14ac:dyDescent="0.25">
      <c r="B34" s="35" t="s">
        <v>29</v>
      </c>
      <c r="C34" s="40">
        <v>125998699526</v>
      </c>
      <c r="D34" s="40">
        <v>54834698112</v>
      </c>
      <c r="E34" s="40">
        <v>31188931000</v>
      </c>
      <c r="F34" s="40">
        <v>121994967932</v>
      </c>
      <c r="G34" s="40">
        <f>SUM(C34:F34)</f>
        <v>334017296570</v>
      </c>
    </row>
    <row r="35" spans="1:9" x14ac:dyDescent="0.25">
      <c r="B35" s="21" t="s">
        <v>30</v>
      </c>
      <c r="C35" s="22">
        <f>SUM(C33:C34)</f>
        <v>2954767636095</v>
      </c>
      <c r="D35" s="22">
        <f>+D34+D33</f>
        <v>547172908339</v>
      </c>
      <c r="E35" s="22">
        <f>+E33+E34</f>
        <v>232255249672</v>
      </c>
      <c r="F35" s="22">
        <v>417383229024</v>
      </c>
      <c r="G35" s="22">
        <f>SUM(C35:F35)</f>
        <v>4151579023130</v>
      </c>
    </row>
    <row r="36" spans="1:9" x14ac:dyDescent="0.25">
      <c r="B36" s="81"/>
      <c r="C36" s="81"/>
      <c r="D36" s="81"/>
      <c r="E36" s="81"/>
      <c r="F36" s="81"/>
      <c r="G36" s="81"/>
      <c r="H36" s="81"/>
    </row>
    <row r="37" spans="1:9" ht="21" x14ac:dyDescent="0.35">
      <c r="B37" s="85" t="s">
        <v>31</v>
      </c>
      <c r="C37" s="86"/>
      <c r="D37" s="86"/>
      <c r="E37" s="86"/>
      <c r="F37" s="86"/>
      <c r="G37" s="87"/>
    </row>
    <row r="38" spans="1:9" x14ac:dyDescent="0.25">
      <c r="B38" s="88" t="s">
        <v>32</v>
      </c>
      <c r="C38" s="89"/>
      <c r="D38" s="89"/>
      <c r="E38" s="89"/>
      <c r="F38" s="89"/>
      <c r="G38" s="90"/>
    </row>
    <row r="39" spans="1:9" x14ac:dyDescent="0.25">
      <c r="B39" s="35" t="s">
        <v>33</v>
      </c>
      <c r="C39" s="40">
        <v>599058</v>
      </c>
      <c r="D39" s="40">
        <v>348888</v>
      </c>
      <c r="E39" s="40">
        <v>53985</v>
      </c>
      <c r="F39" s="40">
        <v>61149</v>
      </c>
      <c r="G39" s="38">
        <f>SUM(C39:F39)</f>
        <v>1063080</v>
      </c>
      <c r="H39" s="9"/>
      <c r="I39" s="9"/>
    </row>
    <row r="40" spans="1:9" x14ac:dyDescent="0.25">
      <c r="B40" s="35" t="s">
        <v>34</v>
      </c>
      <c r="C40" s="40">
        <f>2226234299/1000000</f>
        <v>2226.2342990000002</v>
      </c>
      <c r="D40" s="34">
        <v>852.326594</v>
      </c>
      <c r="E40" s="40">
        <v>332</v>
      </c>
      <c r="F40" s="15">
        <v>362.91100799999998</v>
      </c>
      <c r="G40" s="13">
        <f>SUM(C40:F40)</f>
        <v>3773.4719010000003</v>
      </c>
      <c r="H40" s="9"/>
      <c r="I40" s="9"/>
    </row>
    <row r="41" spans="1:9" x14ac:dyDescent="0.25">
      <c r="A41" s="4"/>
      <c r="B41" s="81"/>
      <c r="C41" s="81"/>
      <c r="D41" s="81"/>
      <c r="E41" s="81"/>
      <c r="F41" s="81"/>
      <c r="G41" s="81"/>
      <c r="H41" s="81"/>
      <c r="I41" s="9"/>
    </row>
    <row r="42" spans="1:9" x14ac:dyDescent="0.25">
      <c r="B42" s="95" t="s">
        <v>35</v>
      </c>
      <c r="C42" s="95"/>
      <c r="D42" s="95"/>
      <c r="E42" s="95"/>
      <c r="F42" s="95"/>
      <c r="G42" s="95"/>
      <c r="I42" s="9"/>
    </row>
    <row r="43" spans="1:9" x14ac:dyDescent="0.25">
      <c r="B43" s="35" t="s">
        <v>36</v>
      </c>
      <c r="C43" s="40">
        <v>47</v>
      </c>
      <c r="D43" s="40">
        <v>17</v>
      </c>
      <c r="E43" s="65">
        <v>5</v>
      </c>
      <c r="F43" s="38">
        <v>5</v>
      </c>
      <c r="G43" s="38">
        <f>SUM(C43:F43)</f>
        <v>74</v>
      </c>
      <c r="H43" s="9"/>
      <c r="I43" s="9"/>
    </row>
    <row r="44" spans="1:9" x14ac:dyDescent="0.25">
      <c r="B44" s="35" t="s">
        <v>37</v>
      </c>
      <c r="C44" s="39">
        <f>4946646/1000000</f>
        <v>4.9466460000000003</v>
      </c>
      <c r="D44" s="16">
        <v>0.22039</v>
      </c>
      <c r="E44" s="78">
        <v>0.1</v>
      </c>
      <c r="F44" s="13">
        <v>0.121561</v>
      </c>
      <c r="G44" s="13">
        <f>SUM(C44:F44)</f>
        <v>5.3885969999999999</v>
      </c>
      <c r="H44" s="9"/>
      <c r="I44" s="9"/>
    </row>
    <row r="45" spans="1:9" x14ac:dyDescent="0.25">
      <c r="A45" s="4"/>
      <c r="B45" s="81"/>
      <c r="C45" s="81"/>
      <c r="D45" s="81"/>
      <c r="E45" s="81"/>
      <c r="F45" s="81"/>
      <c r="G45" s="81"/>
      <c r="H45" s="81"/>
      <c r="I45" s="9"/>
    </row>
    <row r="46" spans="1:9" x14ac:dyDescent="0.25">
      <c r="B46" s="95" t="s">
        <v>38</v>
      </c>
      <c r="C46" s="95"/>
      <c r="D46" s="95"/>
      <c r="E46" s="95"/>
      <c r="F46" s="95"/>
      <c r="G46" s="95"/>
      <c r="I46" s="9"/>
    </row>
    <row r="47" spans="1:9" x14ac:dyDescent="0.25">
      <c r="B47" s="35" t="s">
        <v>39</v>
      </c>
      <c r="C47" s="40">
        <v>107191</v>
      </c>
      <c r="D47" s="40">
        <v>75924</v>
      </c>
      <c r="E47" s="40">
        <v>13366</v>
      </c>
      <c r="F47" s="40">
        <v>61156</v>
      </c>
      <c r="G47" s="40">
        <f>SUM(C47:F47)</f>
        <v>257637</v>
      </c>
      <c r="H47" s="9"/>
      <c r="I47" s="9"/>
    </row>
    <row r="48" spans="1:9" x14ac:dyDescent="0.25">
      <c r="B48" s="35" t="s">
        <v>40</v>
      </c>
      <c r="C48" s="40">
        <f>(59623490396+972159272)/1000000</f>
        <v>60595.649667999998</v>
      </c>
      <c r="D48" s="40">
        <v>22535.25964</v>
      </c>
      <c r="E48" s="40">
        <v>7679.7127780000001</v>
      </c>
      <c r="F48" s="15">
        <v>8533.4974839999995</v>
      </c>
      <c r="G48" s="13">
        <f>SUM(C48:F48)</f>
        <v>99344.11957000001</v>
      </c>
      <c r="H48" s="9"/>
      <c r="I48" s="9"/>
    </row>
    <row r="49" spans="1:8" x14ac:dyDescent="0.25">
      <c r="A49" s="4"/>
      <c r="B49" s="81"/>
      <c r="C49" s="81"/>
      <c r="D49" s="81"/>
      <c r="E49" s="81"/>
      <c r="F49" s="81"/>
      <c r="G49" s="81"/>
      <c r="H49" s="81"/>
    </row>
    <row r="50" spans="1:8" ht="21" x14ac:dyDescent="0.35">
      <c r="B50" s="85" t="s">
        <v>41</v>
      </c>
      <c r="C50" s="86"/>
      <c r="D50" s="86"/>
      <c r="E50" s="86"/>
      <c r="F50" s="86"/>
      <c r="G50" s="87"/>
    </row>
    <row r="51" spans="1:8" x14ac:dyDescent="0.25">
      <c r="A51" s="4"/>
      <c r="B51" s="96"/>
      <c r="C51" s="96"/>
      <c r="D51" s="96"/>
      <c r="E51" s="96"/>
      <c r="F51" s="96"/>
      <c r="G51" s="96"/>
      <c r="H51" s="96"/>
    </row>
    <row r="52" spans="1:8" x14ac:dyDescent="0.25">
      <c r="B52" s="95" t="s">
        <v>42</v>
      </c>
      <c r="C52" s="95"/>
      <c r="D52" s="95"/>
      <c r="E52" s="95"/>
      <c r="F52" s="95"/>
      <c r="G52" s="95"/>
    </row>
    <row r="53" spans="1:8" x14ac:dyDescent="0.25">
      <c r="B53" s="97" t="s">
        <v>43</v>
      </c>
      <c r="C53" s="97"/>
      <c r="D53" s="97"/>
      <c r="E53" s="97"/>
      <c r="F53" s="97"/>
      <c r="G53" s="97"/>
    </row>
    <row r="54" spans="1:8" x14ac:dyDescent="0.25">
      <c r="B54" s="35" t="s">
        <v>44</v>
      </c>
      <c r="C54" s="40">
        <v>70239</v>
      </c>
      <c r="D54" s="40">
        <v>2581</v>
      </c>
      <c r="E54" s="41">
        <v>1719</v>
      </c>
      <c r="F54" s="40">
        <v>2301</v>
      </c>
      <c r="G54" s="40">
        <f t="shared" ref="G54:G70" si="0">SUM(C54:F54)</f>
        <v>76840</v>
      </c>
    </row>
    <row r="55" spans="1:8" x14ac:dyDescent="0.25">
      <c r="B55" s="35" t="s">
        <v>45</v>
      </c>
      <c r="C55" s="40">
        <v>61513.550112999998</v>
      </c>
      <c r="D55" s="40">
        <v>3949</v>
      </c>
      <c r="E55" s="41">
        <v>4948.1747599999999</v>
      </c>
      <c r="F55" s="40">
        <v>7303</v>
      </c>
      <c r="G55" s="40">
        <f t="shared" si="0"/>
        <v>77713.724872999999</v>
      </c>
    </row>
    <row r="56" spans="1:8" x14ac:dyDescent="0.25">
      <c r="B56" s="35" t="s">
        <v>46</v>
      </c>
      <c r="C56" s="40">
        <v>15.0951465709933</v>
      </c>
      <c r="D56" s="40">
        <v>43.0968046599845</v>
      </c>
      <c r="E56" s="55">
        <v>36</v>
      </c>
      <c r="F56" s="40">
        <v>33</v>
      </c>
      <c r="G56" s="40">
        <f>AVERAGE(C56:F56)</f>
        <v>31.797987807744448</v>
      </c>
    </row>
    <row r="57" spans="1:8" x14ac:dyDescent="0.25">
      <c r="B57" s="35" t="s">
        <v>47</v>
      </c>
      <c r="C57" s="40">
        <v>805609</v>
      </c>
      <c r="D57" s="40">
        <v>159345</v>
      </c>
      <c r="E57" s="41">
        <v>49796</v>
      </c>
      <c r="F57" s="40">
        <v>74996</v>
      </c>
      <c r="G57" s="40">
        <f t="shared" si="0"/>
        <v>1089746</v>
      </c>
    </row>
    <row r="58" spans="1:8" x14ac:dyDescent="0.25">
      <c r="B58" s="35" t="s">
        <v>48</v>
      </c>
      <c r="C58" s="40">
        <v>1387444.283117</v>
      </c>
      <c r="D58" s="40">
        <v>287362.95544599998</v>
      </c>
      <c r="E58" s="56">
        <v>87285.130839999998</v>
      </c>
      <c r="F58" s="40">
        <v>134172</v>
      </c>
      <c r="G58" s="13">
        <f t="shared" si="0"/>
        <v>1896264.369403</v>
      </c>
    </row>
    <row r="59" spans="1:8" x14ac:dyDescent="0.25">
      <c r="B59" s="98" t="s">
        <v>49</v>
      </c>
      <c r="C59" s="98"/>
      <c r="D59" s="98"/>
      <c r="E59" s="98"/>
      <c r="F59" s="98"/>
      <c r="G59" s="98"/>
    </row>
    <row r="60" spans="1:8" x14ac:dyDescent="0.25">
      <c r="B60" s="35" t="s">
        <v>44</v>
      </c>
      <c r="C60" s="23">
        <v>0</v>
      </c>
      <c r="D60" s="17">
        <v>0</v>
      </c>
      <c r="E60" s="17">
        <v>0</v>
      </c>
      <c r="F60" s="23">
        <v>0</v>
      </c>
      <c r="G60" s="40">
        <f t="shared" si="0"/>
        <v>0</v>
      </c>
    </row>
    <row r="61" spans="1:8" x14ac:dyDescent="0.25">
      <c r="B61" s="35" t="s">
        <v>45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5" t="s">
        <v>46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5" t="s">
        <v>47</v>
      </c>
      <c r="C63" s="23">
        <v>0</v>
      </c>
      <c r="D63" s="38">
        <v>0</v>
      </c>
      <c r="E63" s="38">
        <v>0</v>
      </c>
      <c r="F63" s="23">
        <v>0</v>
      </c>
      <c r="G63" s="40">
        <f t="shared" si="0"/>
        <v>0</v>
      </c>
    </row>
    <row r="64" spans="1:8" x14ac:dyDescent="0.25">
      <c r="B64" s="35" t="s">
        <v>48</v>
      </c>
      <c r="C64" s="23">
        <v>0</v>
      </c>
      <c r="D64" s="38">
        <v>0</v>
      </c>
      <c r="E64" s="38">
        <v>0</v>
      </c>
      <c r="F64" s="23">
        <v>0</v>
      </c>
      <c r="G64" s="39">
        <f t="shared" si="0"/>
        <v>0</v>
      </c>
    </row>
    <row r="65" spans="1:8" x14ac:dyDescent="0.25">
      <c r="B65" s="97" t="s">
        <v>50</v>
      </c>
      <c r="C65" s="97"/>
      <c r="D65" s="97"/>
      <c r="E65" s="97"/>
      <c r="F65" s="97"/>
      <c r="G65" s="97"/>
    </row>
    <row r="66" spans="1:8" x14ac:dyDescent="0.25">
      <c r="B66" s="35" t="s">
        <v>44</v>
      </c>
      <c r="C66" s="40">
        <v>3653</v>
      </c>
      <c r="D66" s="40">
        <v>820</v>
      </c>
      <c r="E66" s="41">
        <v>2946</v>
      </c>
      <c r="F66" s="41">
        <v>8409</v>
      </c>
      <c r="G66" s="38">
        <f t="shared" si="0"/>
        <v>15828</v>
      </c>
    </row>
    <row r="67" spans="1:8" x14ac:dyDescent="0.25">
      <c r="B67" s="35" t="s">
        <v>45</v>
      </c>
      <c r="C67" s="40">
        <v>2591.6179529999999</v>
      </c>
      <c r="D67" s="40">
        <v>912</v>
      </c>
      <c r="E67" s="41">
        <v>3893.152153</v>
      </c>
      <c r="F67" s="41">
        <v>9956</v>
      </c>
      <c r="G67" s="38">
        <f t="shared" si="0"/>
        <v>17352.770106</v>
      </c>
    </row>
    <row r="68" spans="1:8" x14ac:dyDescent="0.25">
      <c r="B68" s="35" t="s">
        <v>46</v>
      </c>
      <c r="C68" s="40">
        <v>39.220640569395002</v>
      </c>
      <c r="D68" s="40">
        <v>55.731234189978736</v>
      </c>
      <c r="E68" s="41">
        <v>56</v>
      </c>
      <c r="F68" s="40">
        <v>45</v>
      </c>
      <c r="G68" s="38">
        <f>AVERAGE(C68:F68)</f>
        <v>48.987968689843434</v>
      </c>
    </row>
    <row r="69" spans="1:8" x14ac:dyDescent="0.25">
      <c r="B69" s="35" t="s">
        <v>47</v>
      </c>
      <c r="C69" s="40">
        <v>116577</v>
      </c>
      <c r="D69" s="40">
        <v>89936</v>
      </c>
      <c r="E69" s="41">
        <v>57832</v>
      </c>
      <c r="F69" s="15">
        <v>251564</v>
      </c>
      <c r="G69" s="38">
        <f t="shared" si="0"/>
        <v>515909</v>
      </c>
    </row>
    <row r="70" spans="1:8" x14ac:dyDescent="0.25">
      <c r="B70" s="35" t="s">
        <v>48</v>
      </c>
      <c r="C70" s="40">
        <v>88725.392741000003</v>
      </c>
      <c r="D70" s="40">
        <v>78459.377049999996</v>
      </c>
      <c r="E70" s="41">
        <v>49736.084318000001</v>
      </c>
      <c r="F70" s="9">
        <v>174007</v>
      </c>
      <c r="G70" s="39">
        <f t="shared" si="0"/>
        <v>390927.85410900001</v>
      </c>
    </row>
    <row r="71" spans="1:8" x14ac:dyDescent="0.25">
      <c r="B71" s="99" t="s">
        <v>51</v>
      </c>
      <c r="C71" s="100"/>
      <c r="D71" s="100"/>
      <c r="E71" s="100"/>
      <c r="F71" s="100"/>
      <c r="G71" s="101"/>
    </row>
    <row r="72" spans="1:8" x14ac:dyDescent="0.25">
      <c r="B72" s="21" t="s">
        <v>111</v>
      </c>
      <c r="C72" s="22">
        <f>+C54+C66</f>
        <v>73892</v>
      </c>
      <c r="D72" s="22">
        <f>+D66+D60+D54</f>
        <v>3401</v>
      </c>
      <c r="E72" s="22">
        <f t="shared" ref="E72:E73" si="1">+E66+E60+E54</f>
        <v>4665</v>
      </c>
      <c r="F72" s="22">
        <v>10710</v>
      </c>
      <c r="G72" s="22">
        <f>SUM(C72:F72)</f>
        <v>92668</v>
      </c>
    </row>
    <row r="73" spans="1:8" x14ac:dyDescent="0.25">
      <c r="B73" s="21" t="s">
        <v>112</v>
      </c>
      <c r="C73" s="22">
        <f>+C55+C67</f>
        <v>64105.168065999998</v>
      </c>
      <c r="D73" s="22">
        <f t="shared" ref="D73:E76" si="2">+D67+D61+D55</f>
        <v>4861</v>
      </c>
      <c r="E73" s="22">
        <f t="shared" si="1"/>
        <v>8841.3269130000008</v>
      </c>
      <c r="F73" s="22">
        <v>17259</v>
      </c>
      <c r="G73" s="25">
        <f>SUM(C73:F73)</f>
        <v>95066.494978999996</v>
      </c>
    </row>
    <row r="74" spans="1:8" x14ac:dyDescent="0.25">
      <c r="B74" s="21" t="s">
        <v>46</v>
      </c>
      <c r="C74" s="22">
        <v>16</v>
      </c>
      <c r="D74" s="22">
        <f>(+D56+D62+D68)/3</f>
        <v>32.942679616654409</v>
      </c>
      <c r="E74" s="22">
        <v>49</v>
      </c>
      <c r="F74" s="22">
        <v>39</v>
      </c>
      <c r="G74" s="22">
        <f>AVERAGE(C74:F74)</f>
        <v>34.235669904163601</v>
      </c>
    </row>
    <row r="75" spans="1:8" x14ac:dyDescent="0.25">
      <c r="B75" s="21" t="s">
        <v>47</v>
      </c>
      <c r="C75" s="22">
        <f>+C57+C69</f>
        <v>922186</v>
      </c>
      <c r="D75" s="22">
        <f t="shared" si="2"/>
        <v>249281</v>
      </c>
      <c r="E75" s="22">
        <f t="shared" si="2"/>
        <v>107628</v>
      </c>
      <c r="F75" s="22">
        <v>326560</v>
      </c>
      <c r="G75" s="22">
        <f>SUM(C75:F75)</f>
        <v>1605655</v>
      </c>
    </row>
    <row r="76" spans="1:8" x14ac:dyDescent="0.25">
      <c r="B76" s="21" t="s">
        <v>48</v>
      </c>
      <c r="C76" s="22">
        <f>+C58+C70</f>
        <v>1476169.6758580001</v>
      </c>
      <c r="D76" s="22">
        <f>+D70+D64+D58</f>
        <v>365822.33249599999</v>
      </c>
      <c r="E76" s="22">
        <f t="shared" si="2"/>
        <v>137021.21515800001</v>
      </c>
      <c r="F76" s="22">
        <v>308179</v>
      </c>
      <c r="G76" s="25">
        <f>SUM(C76:F76)</f>
        <v>2287192.2235119999</v>
      </c>
    </row>
    <row r="77" spans="1:8" x14ac:dyDescent="0.25">
      <c r="A77" s="4"/>
      <c r="B77" s="81"/>
      <c r="C77" s="81"/>
      <c r="D77" s="81"/>
      <c r="E77" s="81"/>
      <c r="F77" s="81"/>
      <c r="G77" s="81"/>
      <c r="H77" s="81"/>
    </row>
    <row r="78" spans="1:8" x14ac:dyDescent="0.25">
      <c r="B78" s="88" t="s">
        <v>52</v>
      </c>
      <c r="C78" s="89"/>
      <c r="D78" s="89"/>
      <c r="E78" s="89"/>
      <c r="F78" s="89"/>
      <c r="G78" s="90"/>
    </row>
    <row r="79" spans="1:8" x14ac:dyDescent="0.25">
      <c r="B79" s="102" t="s">
        <v>43</v>
      </c>
      <c r="C79" s="103"/>
      <c r="D79" s="103"/>
      <c r="E79" s="103"/>
      <c r="F79" s="103"/>
      <c r="G79" s="104"/>
    </row>
    <row r="80" spans="1:8" x14ac:dyDescent="0.25">
      <c r="B80" s="35" t="s">
        <v>44</v>
      </c>
      <c r="C80" s="29">
        <v>0</v>
      </c>
      <c r="D80" s="23">
        <v>0</v>
      </c>
      <c r="E80" s="35">
        <v>0</v>
      </c>
      <c r="F80" s="23">
        <v>0</v>
      </c>
      <c r="G80" s="23">
        <f>SUM(C80:F80)</f>
        <v>0</v>
      </c>
    </row>
    <row r="81" spans="2:7" x14ac:dyDescent="0.25">
      <c r="B81" s="35" t="s">
        <v>45</v>
      </c>
      <c r="C81" s="29">
        <v>0</v>
      </c>
      <c r="D81" s="23">
        <v>0</v>
      </c>
      <c r="E81" s="35">
        <v>0</v>
      </c>
      <c r="F81" s="29">
        <v>0</v>
      </c>
      <c r="G81" s="29">
        <f>SUM(C81:F81)</f>
        <v>0</v>
      </c>
    </row>
    <row r="82" spans="2:7" x14ac:dyDescent="0.25">
      <c r="B82" s="35" t="s">
        <v>46</v>
      </c>
      <c r="C82" s="29">
        <v>0</v>
      </c>
      <c r="D82" s="23">
        <v>0</v>
      </c>
      <c r="E82" s="35">
        <v>0</v>
      </c>
      <c r="F82" s="29">
        <v>0</v>
      </c>
      <c r="G82" s="29">
        <f>AVERAGE(C82:F82)</f>
        <v>0</v>
      </c>
    </row>
    <row r="83" spans="2:7" x14ac:dyDescent="0.25">
      <c r="B83" s="35" t="s">
        <v>47</v>
      </c>
      <c r="C83" s="40">
        <v>1090</v>
      </c>
      <c r="D83" s="40">
        <v>134</v>
      </c>
      <c r="E83" s="48">
        <v>6</v>
      </c>
      <c r="F83" s="29">
        <v>116</v>
      </c>
      <c r="G83" s="29">
        <f>SUM(C83:F83)</f>
        <v>1346</v>
      </c>
    </row>
    <row r="84" spans="2:7" x14ac:dyDescent="0.25">
      <c r="B84" s="35" t="s">
        <v>48</v>
      </c>
      <c r="C84" s="40">
        <v>21447.329804000001</v>
      </c>
      <c r="D84" s="40">
        <v>1549</v>
      </c>
      <c r="E84" s="48">
        <v>74</v>
      </c>
      <c r="F84" s="40">
        <v>1962.4282659999999</v>
      </c>
      <c r="G84" s="13">
        <f>SUM(C84:F84)</f>
        <v>25032.75807</v>
      </c>
    </row>
    <row r="85" spans="2:7" x14ac:dyDescent="0.25">
      <c r="B85" s="102" t="s">
        <v>49</v>
      </c>
      <c r="C85" s="103"/>
      <c r="D85" s="103"/>
      <c r="E85" s="103"/>
      <c r="F85" s="103"/>
      <c r="G85" s="104"/>
    </row>
    <row r="86" spans="2:7" x14ac:dyDescent="0.25">
      <c r="B86" s="35" t="s">
        <v>44</v>
      </c>
      <c r="C86" s="23">
        <v>0</v>
      </c>
      <c r="D86" s="35">
        <v>0</v>
      </c>
      <c r="E86" s="23">
        <v>0</v>
      </c>
      <c r="F86" s="29">
        <v>0</v>
      </c>
      <c r="G86" s="38">
        <f>SUM(C86:F86)</f>
        <v>0</v>
      </c>
    </row>
    <row r="87" spans="2:7" x14ac:dyDescent="0.25">
      <c r="B87" s="35" t="s">
        <v>45</v>
      </c>
      <c r="C87" s="23">
        <v>0</v>
      </c>
      <c r="D87" s="35">
        <v>0</v>
      </c>
      <c r="E87" s="23">
        <v>0</v>
      </c>
      <c r="F87" s="29">
        <v>0</v>
      </c>
      <c r="G87" s="38">
        <f>SUM(C87:F87)</f>
        <v>0</v>
      </c>
    </row>
    <row r="88" spans="2:7" x14ac:dyDescent="0.25">
      <c r="B88" s="35" t="s">
        <v>46</v>
      </c>
      <c r="C88" s="23">
        <v>0</v>
      </c>
      <c r="D88" s="35">
        <v>0</v>
      </c>
      <c r="E88" s="23">
        <v>0</v>
      </c>
      <c r="F88" s="29">
        <v>0</v>
      </c>
      <c r="G88" s="38">
        <f>AVERAGE(C88:F88)</f>
        <v>0</v>
      </c>
    </row>
    <row r="89" spans="2:7" x14ac:dyDescent="0.25">
      <c r="B89" s="35" t="s">
        <v>47</v>
      </c>
      <c r="C89" s="23">
        <v>0</v>
      </c>
      <c r="D89" s="35">
        <v>0</v>
      </c>
      <c r="E89" s="23">
        <v>0</v>
      </c>
      <c r="F89" s="29">
        <v>0</v>
      </c>
      <c r="G89" s="38">
        <f>SUM(C89:F89)</f>
        <v>0</v>
      </c>
    </row>
    <row r="90" spans="2:7" x14ac:dyDescent="0.25">
      <c r="B90" s="35" t="s">
        <v>48</v>
      </c>
      <c r="C90" s="23">
        <v>0</v>
      </c>
      <c r="D90" s="35">
        <v>0</v>
      </c>
      <c r="E90" s="23">
        <v>0</v>
      </c>
      <c r="F90" s="29">
        <v>0</v>
      </c>
      <c r="G90" s="38">
        <f>SUM(C90:F90)</f>
        <v>0</v>
      </c>
    </row>
    <row r="91" spans="2:7" x14ac:dyDescent="0.25">
      <c r="B91" s="102" t="s">
        <v>50</v>
      </c>
      <c r="C91" s="103"/>
      <c r="D91" s="103"/>
      <c r="E91" s="103"/>
      <c r="F91" s="103"/>
      <c r="G91" s="104"/>
    </row>
    <row r="92" spans="2:7" x14ac:dyDescent="0.25">
      <c r="B92" s="35" t="s">
        <v>44</v>
      </c>
      <c r="C92" s="40">
        <v>0</v>
      </c>
      <c r="D92" s="23">
        <v>0</v>
      </c>
      <c r="E92" s="23">
        <v>0</v>
      </c>
      <c r="F92" s="29">
        <v>0</v>
      </c>
      <c r="G92" s="38">
        <f>SUM(C92:F92)</f>
        <v>0</v>
      </c>
    </row>
    <row r="93" spans="2:7" x14ac:dyDescent="0.25">
      <c r="B93" s="35" t="s">
        <v>45</v>
      </c>
      <c r="C93" s="40">
        <v>0</v>
      </c>
      <c r="D93" s="23">
        <v>0</v>
      </c>
      <c r="E93" s="23">
        <v>0</v>
      </c>
      <c r="F93" s="29">
        <v>0</v>
      </c>
      <c r="G93" s="38">
        <f>SUM(C93:F93)</f>
        <v>0</v>
      </c>
    </row>
    <row r="94" spans="2:7" x14ac:dyDescent="0.25">
      <c r="B94" s="35" t="s">
        <v>46</v>
      </c>
      <c r="C94" s="41">
        <v>0</v>
      </c>
      <c r="D94" s="23">
        <v>0</v>
      </c>
      <c r="E94" s="23">
        <v>0</v>
      </c>
      <c r="F94" s="29">
        <v>0</v>
      </c>
      <c r="G94" s="38">
        <f>AVERAGE(C94:F94)</f>
        <v>0</v>
      </c>
    </row>
    <row r="95" spans="2:7" x14ac:dyDescent="0.25">
      <c r="B95" s="35" t="s">
        <v>47</v>
      </c>
      <c r="C95" s="23">
        <v>13</v>
      </c>
      <c r="D95" s="23">
        <v>0</v>
      </c>
      <c r="E95" s="66">
        <v>0</v>
      </c>
      <c r="F95" s="29">
        <v>7</v>
      </c>
      <c r="G95" s="38">
        <f>SUM(C95:F95)</f>
        <v>20</v>
      </c>
    </row>
    <row r="96" spans="2:7" x14ac:dyDescent="0.25">
      <c r="B96" s="35" t="s">
        <v>48</v>
      </c>
      <c r="C96" s="74">
        <v>187.51177000000001</v>
      </c>
      <c r="D96" s="23">
        <v>0</v>
      </c>
      <c r="E96" s="66">
        <v>0</v>
      </c>
      <c r="F96" s="29">
        <v>90.437023999999994</v>
      </c>
      <c r="G96" s="13">
        <f>SUM(C96:F96)</f>
        <v>277.94879400000002</v>
      </c>
    </row>
    <row r="97" spans="1:8" x14ac:dyDescent="0.25">
      <c r="B97" s="99" t="s">
        <v>53</v>
      </c>
      <c r="C97" s="100"/>
      <c r="D97" s="100"/>
      <c r="E97" s="100"/>
      <c r="F97" s="100"/>
      <c r="G97" s="101"/>
    </row>
    <row r="98" spans="1:8" x14ac:dyDescent="0.25">
      <c r="B98" s="21" t="s">
        <v>44</v>
      </c>
      <c r="C98" s="22">
        <v>0</v>
      </c>
      <c r="D98" s="21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45</v>
      </c>
      <c r="C99" s="22">
        <v>0</v>
      </c>
      <c r="D99" s="21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46</v>
      </c>
      <c r="C100" s="22">
        <v>0</v>
      </c>
      <c r="D100" s="21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47</v>
      </c>
      <c r="C101" s="59">
        <f>+C95+C83</f>
        <v>1103</v>
      </c>
      <c r="D101" s="59">
        <f>+D95+D89+D83</f>
        <v>134</v>
      </c>
      <c r="E101" s="22">
        <f>+E83</f>
        <v>6</v>
      </c>
      <c r="F101" s="32">
        <v>0</v>
      </c>
      <c r="G101" s="22">
        <f>SUM(C101:F101)</f>
        <v>1243</v>
      </c>
    </row>
    <row r="102" spans="1:8" x14ac:dyDescent="0.25">
      <c r="B102" s="21" t="s">
        <v>48</v>
      </c>
      <c r="C102" s="59">
        <f>+C96+C84</f>
        <v>21634.841574000002</v>
      </c>
      <c r="D102" s="59">
        <f t="shared" ref="D102" si="3">+D96+D90+D84</f>
        <v>1549</v>
      </c>
      <c r="E102" s="22">
        <f>+E84</f>
        <v>74</v>
      </c>
      <c r="F102" s="25">
        <v>0</v>
      </c>
      <c r="G102" s="25">
        <f>SUM(C102:F102)</f>
        <v>23257.841574000002</v>
      </c>
    </row>
    <row r="103" spans="1:8" x14ac:dyDescent="0.25">
      <c r="A103" s="4"/>
      <c r="B103" s="81"/>
      <c r="C103" s="81"/>
      <c r="D103" s="81"/>
      <c r="E103" s="81"/>
      <c r="F103" s="81"/>
      <c r="G103" s="81"/>
      <c r="H103" s="81"/>
    </row>
    <row r="104" spans="1:8" x14ac:dyDescent="0.25">
      <c r="B104" s="95" t="s">
        <v>54</v>
      </c>
      <c r="C104" s="95"/>
      <c r="D104" s="95"/>
      <c r="E104" s="95"/>
      <c r="F104" s="95"/>
      <c r="G104" s="95"/>
    </row>
    <row r="105" spans="1:8" x14ac:dyDescent="0.25">
      <c r="B105" s="97" t="s">
        <v>55</v>
      </c>
      <c r="C105" s="97"/>
      <c r="D105" s="97"/>
      <c r="E105" s="97"/>
      <c r="F105" s="97"/>
      <c r="G105" s="97"/>
    </row>
    <row r="106" spans="1:8" x14ac:dyDescent="0.25">
      <c r="B106" s="35" t="s">
        <v>56</v>
      </c>
      <c r="C106" s="60">
        <v>1.2039740684604416</v>
      </c>
      <c r="D106" s="16">
        <v>2.5962857142856963</v>
      </c>
      <c r="E106" s="44">
        <v>2.31</v>
      </c>
      <c r="F106" s="60">
        <v>1.89</v>
      </c>
      <c r="G106" s="16">
        <f>AVERAGE(C106:F106)</f>
        <v>2.0000649456865345</v>
      </c>
    </row>
    <row r="107" spans="1:8" x14ac:dyDescent="0.25">
      <c r="B107" s="35" t="s">
        <v>57</v>
      </c>
      <c r="C107" s="60">
        <v>1.7980219146481722</v>
      </c>
      <c r="D107" s="16">
        <v>2.4466230936819047</v>
      </c>
      <c r="E107" s="47">
        <v>1.94</v>
      </c>
      <c r="F107" s="44">
        <v>2.1800000000000002</v>
      </c>
      <c r="G107" s="16">
        <f>AVERAGE(C107:F107)</f>
        <v>2.0911612520825189</v>
      </c>
    </row>
    <row r="108" spans="1:8" x14ac:dyDescent="0.25">
      <c r="B108" s="35" t="s">
        <v>58</v>
      </c>
      <c r="C108" s="60">
        <v>1.5238333146508749</v>
      </c>
      <c r="D108" s="16">
        <v>2.3143278084714365</v>
      </c>
      <c r="E108" s="44">
        <v>1.71</v>
      </c>
      <c r="F108" s="44">
        <v>2.1800000000000002</v>
      </c>
      <c r="G108" s="16">
        <f>AVERAGE(C108:F108)</f>
        <v>1.9320402807805777</v>
      </c>
    </row>
    <row r="109" spans="1:8" x14ac:dyDescent="0.25">
      <c r="B109" s="97" t="s">
        <v>59</v>
      </c>
      <c r="C109" s="97"/>
      <c r="D109" s="97"/>
      <c r="E109" s="97"/>
      <c r="F109" s="97"/>
      <c r="G109" s="97"/>
    </row>
    <row r="110" spans="1:8" x14ac:dyDescent="0.25">
      <c r="B110" s="35" t="s">
        <v>56</v>
      </c>
      <c r="C110" s="16">
        <v>1.2136363636363634</v>
      </c>
      <c r="D110" s="16">
        <v>1.6766666666666663</v>
      </c>
      <c r="E110" s="44">
        <v>1.45</v>
      </c>
      <c r="F110" s="47">
        <v>1.56</v>
      </c>
      <c r="G110" s="16">
        <f>AVERAGE(C110:F110)</f>
        <v>1.4750757575757576</v>
      </c>
    </row>
    <row r="111" spans="1:8" x14ac:dyDescent="0.25">
      <c r="B111" s="35" t="s">
        <v>57</v>
      </c>
      <c r="C111" s="16">
        <v>1.4500000000000013</v>
      </c>
      <c r="D111" s="16">
        <v>1.6781481481481482</v>
      </c>
      <c r="E111" s="44">
        <v>1.43</v>
      </c>
      <c r="F111" s="16">
        <v>0.89</v>
      </c>
      <c r="G111" s="16">
        <f>AVERAGE(C111:F111)</f>
        <v>1.3620370370370372</v>
      </c>
    </row>
    <row r="112" spans="1:8" x14ac:dyDescent="0.25">
      <c r="B112" s="35" t="s">
        <v>58</v>
      </c>
      <c r="C112" s="16">
        <v>1.0923567373969241</v>
      </c>
      <c r="D112" s="16">
        <v>1.6764516129032303</v>
      </c>
      <c r="E112" s="44">
        <v>1.0900000000000001</v>
      </c>
      <c r="F112" s="47">
        <v>1.56</v>
      </c>
      <c r="G112" s="16">
        <f>AVERAGE(C112:F112)</f>
        <v>1.3547020875750384</v>
      </c>
    </row>
    <row r="113" spans="1:9" x14ac:dyDescent="0.25">
      <c r="A113" s="4"/>
      <c r="B113" s="81"/>
      <c r="C113" s="81"/>
      <c r="D113" s="81"/>
      <c r="E113" s="81"/>
      <c r="F113" s="81"/>
      <c r="G113" s="81"/>
      <c r="H113" s="81"/>
      <c r="I113" s="81"/>
    </row>
    <row r="114" spans="1:9" x14ac:dyDescent="0.25">
      <c r="B114" s="97" t="s">
        <v>60</v>
      </c>
      <c r="C114" s="97"/>
      <c r="D114" s="97"/>
      <c r="E114" s="97"/>
      <c r="F114" s="97"/>
      <c r="G114" s="97"/>
    </row>
    <row r="115" spans="1:9" x14ac:dyDescent="0.25">
      <c r="B115" s="35" t="s">
        <v>56</v>
      </c>
      <c r="C115" s="16">
        <v>1.25356363636363</v>
      </c>
      <c r="D115" s="16">
        <v>1.694943820224718</v>
      </c>
      <c r="E115" s="47">
        <v>1.57</v>
      </c>
      <c r="F115" s="16">
        <v>1.64</v>
      </c>
      <c r="G115" s="16">
        <f>AVERAGE(C115:F115)</f>
        <v>1.5396268641470869</v>
      </c>
    </row>
    <row r="116" spans="1:9" x14ac:dyDescent="0.25">
      <c r="B116" s="35" t="s">
        <v>57</v>
      </c>
      <c r="C116" s="16">
        <v>1.3891332611051028</v>
      </c>
      <c r="D116" s="16">
        <v>1.6951677852348961</v>
      </c>
      <c r="E116" s="47">
        <v>1.57</v>
      </c>
      <c r="F116" s="16">
        <v>1.64</v>
      </c>
      <c r="G116" s="16">
        <f>AVERAGE(C116:F116)</f>
        <v>1.5735752615849996</v>
      </c>
    </row>
    <row r="117" spans="1:9" x14ac:dyDescent="0.25">
      <c r="B117" s="35" t="s">
        <v>58</v>
      </c>
      <c r="C117" s="16">
        <v>1.3229171629225096</v>
      </c>
      <c r="D117" s="16">
        <v>1.6951374465485713</v>
      </c>
      <c r="E117" s="47">
        <v>1.55</v>
      </c>
      <c r="F117" s="16">
        <v>1.64</v>
      </c>
      <c r="G117" s="16">
        <f>AVERAGE(C117:F117)</f>
        <v>1.5520136523677701</v>
      </c>
    </row>
    <row r="118" spans="1:9" x14ac:dyDescent="0.25">
      <c r="B118" s="102" t="s">
        <v>61</v>
      </c>
      <c r="C118" s="103"/>
      <c r="D118" s="103"/>
      <c r="E118" s="103"/>
      <c r="F118" s="103"/>
      <c r="G118" s="104"/>
    </row>
    <row r="119" spans="1:9" x14ac:dyDescent="0.25">
      <c r="B119" s="35" t="s">
        <v>56</v>
      </c>
      <c r="C119" s="16">
        <v>0</v>
      </c>
      <c r="D119" s="16">
        <v>1.2049056603773594</v>
      </c>
      <c r="E119" s="36">
        <v>0</v>
      </c>
      <c r="F119" s="16">
        <v>0.99</v>
      </c>
      <c r="G119" s="16">
        <f>AVERAGE(C119:F119)</f>
        <v>0.54872641509433984</v>
      </c>
    </row>
    <row r="120" spans="1:9" x14ac:dyDescent="0.25">
      <c r="B120" s="35" t="s">
        <v>57</v>
      </c>
      <c r="C120" s="16">
        <v>0.99</v>
      </c>
      <c r="D120" s="16">
        <v>1.2049056603773594</v>
      </c>
      <c r="E120" s="44">
        <v>0</v>
      </c>
      <c r="F120" s="16">
        <v>0.88</v>
      </c>
      <c r="G120" s="16">
        <f>AVERAGE(C120:F120)</f>
        <v>0.76872641509433981</v>
      </c>
    </row>
    <row r="121" spans="1:9" x14ac:dyDescent="0.25">
      <c r="B121" s="35" t="s">
        <v>58</v>
      </c>
      <c r="C121" s="16">
        <v>0.99</v>
      </c>
      <c r="D121" s="16">
        <v>1.2049056603773594</v>
      </c>
      <c r="E121" s="44">
        <v>0.98</v>
      </c>
      <c r="F121" s="16">
        <v>1.3891332611051028</v>
      </c>
      <c r="G121" s="16">
        <f>AVERAGE(C121:F121)</f>
        <v>1.1410097303706155</v>
      </c>
    </row>
    <row r="122" spans="1:9" x14ac:dyDescent="0.25">
      <c r="A122" s="4"/>
      <c r="B122" s="81"/>
      <c r="C122" s="81"/>
      <c r="D122" s="81"/>
      <c r="E122" s="81"/>
      <c r="F122" s="81"/>
      <c r="G122" s="81"/>
      <c r="H122" s="81"/>
    </row>
    <row r="123" spans="1:9" x14ac:dyDescent="0.25">
      <c r="B123" s="88" t="s">
        <v>62</v>
      </c>
      <c r="C123" s="89"/>
      <c r="D123" s="89"/>
      <c r="E123" s="89"/>
      <c r="F123" s="89"/>
      <c r="G123" s="90"/>
    </row>
    <row r="124" spans="1:9" x14ac:dyDescent="0.25">
      <c r="B124" s="2" t="s">
        <v>63</v>
      </c>
      <c r="C124" s="16">
        <v>0</v>
      </c>
      <c r="D124" s="31">
        <v>0</v>
      </c>
      <c r="E124" s="23">
        <v>0</v>
      </c>
      <c r="F124" s="23">
        <v>0</v>
      </c>
      <c r="G124" s="39">
        <f>AVERAGE(C124:F124)</f>
        <v>0</v>
      </c>
      <c r="H124" s="3"/>
    </row>
    <row r="125" spans="1:9" x14ac:dyDescent="0.25">
      <c r="B125" s="88" t="s">
        <v>64</v>
      </c>
      <c r="C125" s="89"/>
      <c r="D125" s="89"/>
      <c r="E125" s="89"/>
      <c r="F125" s="89"/>
      <c r="G125" s="90"/>
    </row>
    <row r="126" spans="1:9" x14ac:dyDescent="0.25">
      <c r="B126" s="5" t="s">
        <v>65</v>
      </c>
      <c r="C126" s="69">
        <v>1.59</v>
      </c>
      <c r="D126" s="69">
        <v>1.9468032378562401</v>
      </c>
      <c r="E126" s="77">
        <v>1.9434149999999999</v>
      </c>
      <c r="F126" s="14">
        <v>0</v>
      </c>
      <c r="G126" s="39">
        <f>AVERAGE(C126:F126)</f>
        <v>1.3700545594640601</v>
      </c>
    </row>
    <row r="127" spans="1:9" x14ac:dyDescent="0.25">
      <c r="A127" s="4"/>
      <c r="B127" s="105"/>
      <c r="C127" s="105"/>
      <c r="D127" s="105"/>
      <c r="E127" s="105"/>
      <c r="F127" s="105"/>
      <c r="G127" s="105"/>
      <c r="H127" s="105"/>
    </row>
    <row r="128" spans="1:9" x14ac:dyDescent="0.25">
      <c r="B128" s="95" t="s">
        <v>66</v>
      </c>
      <c r="C128" s="95"/>
      <c r="D128" s="95"/>
      <c r="E128" s="95"/>
      <c r="F128" s="95"/>
      <c r="G128" s="95"/>
    </row>
    <row r="129" spans="1:9" x14ac:dyDescent="0.25">
      <c r="B129" s="35" t="s">
        <v>67</v>
      </c>
      <c r="C129" s="40">
        <v>301942</v>
      </c>
      <c r="D129" s="40">
        <v>6925</v>
      </c>
      <c r="E129" s="40">
        <v>8618</v>
      </c>
      <c r="F129" s="40">
        <v>1076</v>
      </c>
      <c r="G129" s="38">
        <f>SUM(C129:F129)</f>
        <v>318561</v>
      </c>
    </row>
    <row r="130" spans="1:9" x14ac:dyDescent="0.25">
      <c r="B130" s="35" t="s">
        <v>68</v>
      </c>
      <c r="C130" s="40">
        <v>207485.40350300001</v>
      </c>
      <c r="D130" s="40">
        <v>4634.5761579999999</v>
      </c>
      <c r="E130" s="40">
        <v>1272</v>
      </c>
      <c r="F130" s="38">
        <v>1315.8886580000001</v>
      </c>
      <c r="G130" s="13">
        <f>SUM(C130:F130)</f>
        <v>214707.86831900003</v>
      </c>
    </row>
    <row r="131" spans="1:9" x14ac:dyDescent="0.25">
      <c r="A131" s="4"/>
      <c r="B131" s="81"/>
      <c r="C131" s="81"/>
      <c r="D131" s="81"/>
      <c r="E131" s="81"/>
      <c r="F131" s="81"/>
      <c r="G131" s="81"/>
      <c r="H131" s="81"/>
    </row>
    <row r="132" spans="1:9" x14ac:dyDescent="0.25">
      <c r="B132" s="95" t="s">
        <v>69</v>
      </c>
      <c r="C132" s="95"/>
      <c r="D132" s="95"/>
      <c r="E132" s="95"/>
      <c r="F132" s="95"/>
      <c r="G132" s="95"/>
    </row>
    <row r="133" spans="1:9" x14ac:dyDescent="0.25">
      <c r="B133" s="35" t="s">
        <v>70</v>
      </c>
      <c r="C133" s="40">
        <v>621110</v>
      </c>
      <c r="D133" s="40">
        <v>133882</v>
      </c>
      <c r="E133" s="40">
        <f>100799+25659</f>
        <v>126458</v>
      </c>
      <c r="F133" s="40">
        <v>313668</v>
      </c>
      <c r="G133" s="38">
        <f>SUM(C133:F133)</f>
        <v>1195118</v>
      </c>
    </row>
    <row r="134" spans="1:9" x14ac:dyDescent="0.25">
      <c r="A134" s="4"/>
      <c r="B134" s="81"/>
      <c r="C134" s="81"/>
      <c r="D134" s="81"/>
      <c r="E134" s="81"/>
      <c r="F134" s="81"/>
      <c r="G134" s="81"/>
      <c r="H134" s="81"/>
    </row>
    <row r="135" spans="1:9" ht="21" x14ac:dyDescent="0.35">
      <c r="B135" s="106" t="s">
        <v>71</v>
      </c>
      <c r="C135" s="106"/>
      <c r="D135" s="106"/>
      <c r="E135" s="106"/>
      <c r="F135" s="106"/>
      <c r="G135" s="106"/>
    </row>
    <row r="136" spans="1:9" x14ac:dyDescent="0.25">
      <c r="B136" s="95" t="s">
        <v>72</v>
      </c>
      <c r="C136" s="95"/>
      <c r="D136" s="95"/>
      <c r="E136" s="95"/>
      <c r="F136" s="95"/>
      <c r="G136" s="95"/>
    </row>
    <row r="137" spans="1:9" x14ac:dyDescent="0.25">
      <c r="B137" s="35" t="s">
        <v>73</v>
      </c>
      <c r="C137" s="38">
        <v>0</v>
      </c>
      <c r="D137" s="40">
        <v>5584</v>
      </c>
      <c r="E137" s="38">
        <v>0</v>
      </c>
      <c r="F137" s="38">
        <v>15764</v>
      </c>
      <c r="G137" s="40">
        <f>SUM(C137:F137)</f>
        <v>21348</v>
      </c>
      <c r="H137" s="9"/>
      <c r="I137" s="9"/>
    </row>
    <row r="138" spans="1:9" x14ac:dyDescent="0.25">
      <c r="B138" s="35" t="s">
        <v>74</v>
      </c>
      <c r="C138" s="38">
        <v>0</v>
      </c>
      <c r="D138" s="40">
        <v>5</v>
      </c>
      <c r="E138" s="38">
        <v>0</v>
      </c>
      <c r="F138" s="38">
        <v>186</v>
      </c>
      <c r="G138" s="40">
        <f>SUM(C138:F138)</f>
        <v>191</v>
      </c>
      <c r="H138" s="9"/>
      <c r="I138" s="9"/>
    </row>
    <row r="139" spans="1:9" x14ac:dyDescent="0.25">
      <c r="A139" s="4"/>
      <c r="B139" s="81"/>
      <c r="C139" s="81"/>
      <c r="D139" s="81"/>
      <c r="E139" s="81"/>
      <c r="F139" s="81"/>
      <c r="G139" s="81"/>
      <c r="H139" s="81"/>
      <c r="I139" s="9"/>
    </row>
    <row r="140" spans="1:9" x14ac:dyDescent="0.25">
      <c r="B140" s="88" t="s">
        <v>75</v>
      </c>
      <c r="C140" s="89"/>
      <c r="D140" s="89"/>
      <c r="E140" s="89"/>
      <c r="F140" s="89"/>
      <c r="G140" s="90"/>
      <c r="I140" s="9"/>
    </row>
    <row r="141" spans="1:9" x14ac:dyDescent="0.25">
      <c r="B141" s="35" t="s">
        <v>76</v>
      </c>
      <c r="C141" s="38">
        <v>0</v>
      </c>
      <c r="D141" s="40">
        <v>0</v>
      </c>
      <c r="E141" s="38">
        <v>0</v>
      </c>
      <c r="F141" s="23">
        <v>0</v>
      </c>
      <c r="G141" s="40">
        <f>SUM(C141:F141)</f>
        <v>0</v>
      </c>
      <c r="H141" s="9"/>
      <c r="I141" s="9"/>
    </row>
    <row r="142" spans="1:9" x14ac:dyDescent="0.25">
      <c r="A142" s="4"/>
      <c r="B142" s="81"/>
      <c r="C142" s="81"/>
      <c r="D142" s="81"/>
      <c r="E142" s="81"/>
      <c r="F142" s="81"/>
      <c r="G142" s="81"/>
      <c r="H142" s="81"/>
    </row>
    <row r="143" spans="1:9" ht="21" x14ac:dyDescent="0.35">
      <c r="B143" s="85" t="s">
        <v>77</v>
      </c>
      <c r="C143" s="86"/>
      <c r="D143" s="86"/>
      <c r="E143" s="86"/>
      <c r="F143" s="86"/>
      <c r="G143" s="87"/>
    </row>
    <row r="144" spans="1:9" x14ac:dyDescent="0.25">
      <c r="B144" s="88" t="s">
        <v>78</v>
      </c>
      <c r="C144" s="89"/>
      <c r="D144" s="89"/>
      <c r="E144" s="89"/>
      <c r="F144" s="89"/>
      <c r="G144" s="90"/>
    </row>
    <row r="145" spans="1:8" x14ac:dyDescent="0.25">
      <c r="A145" s="4"/>
      <c r="B145" s="107"/>
      <c r="C145" s="107"/>
      <c r="D145" s="107"/>
      <c r="E145" s="107"/>
      <c r="F145" s="107"/>
      <c r="G145" s="107"/>
      <c r="H145" s="107"/>
    </row>
    <row r="146" spans="1:8" x14ac:dyDescent="0.25">
      <c r="B146" s="98" t="s">
        <v>79</v>
      </c>
      <c r="C146" s="98"/>
      <c r="D146" s="98"/>
      <c r="E146" s="98"/>
      <c r="F146" s="98"/>
      <c r="G146" s="98"/>
    </row>
    <row r="147" spans="1:8" x14ac:dyDescent="0.25">
      <c r="B147" s="35" t="s">
        <v>80</v>
      </c>
      <c r="C147" s="40">
        <v>0</v>
      </c>
      <c r="D147" s="40">
        <v>6089</v>
      </c>
      <c r="E147" s="57">
        <v>0</v>
      </c>
      <c r="F147" s="40">
        <v>1316</v>
      </c>
      <c r="G147" s="38">
        <f>SUM(C147:F147)</f>
        <v>7405</v>
      </c>
    </row>
    <row r="148" spans="1:8" x14ac:dyDescent="0.25">
      <c r="B148" s="35" t="s">
        <v>81</v>
      </c>
      <c r="C148" s="40">
        <v>0</v>
      </c>
      <c r="D148" s="40">
        <v>119.76349999999999</v>
      </c>
      <c r="E148" s="57">
        <v>0</v>
      </c>
      <c r="F148" s="40">
        <v>16.53575</v>
      </c>
      <c r="G148" s="13">
        <f>SUM(C148:F148)</f>
        <v>136.29925</v>
      </c>
    </row>
    <row r="149" spans="1:8" x14ac:dyDescent="0.25">
      <c r="A149" s="4"/>
      <c r="B149" s="81"/>
      <c r="C149" s="81"/>
      <c r="D149" s="81"/>
      <c r="E149" s="81"/>
      <c r="F149" s="81"/>
      <c r="G149" s="81"/>
      <c r="H149" s="81"/>
    </row>
    <row r="150" spans="1:8" x14ac:dyDescent="0.25">
      <c r="B150" s="98" t="s">
        <v>82</v>
      </c>
      <c r="C150" s="98"/>
      <c r="D150" s="98"/>
      <c r="E150" s="98"/>
      <c r="F150" s="98"/>
      <c r="G150" s="98"/>
    </row>
    <row r="151" spans="1:8" x14ac:dyDescent="0.25">
      <c r="B151" s="35" t="s">
        <v>83</v>
      </c>
      <c r="C151" s="35">
        <v>0</v>
      </c>
      <c r="D151" s="15">
        <v>1</v>
      </c>
      <c r="E151" s="15">
        <v>14</v>
      </c>
      <c r="F151" s="33">
        <v>0</v>
      </c>
      <c r="G151" s="38">
        <f>SUM(C151:F151)</f>
        <v>15</v>
      </c>
      <c r="H151" s="26"/>
    </row>
    <row r="152" spans="1:8" x14ac:dyDescent="0.25">
      <c r="B152" s="35" t="s">
        <v>84</v>
      </c>
      <c r="C152" s="76">
        <v>0</v>
      </c>
      <c r="D152" s="75">
        <v>0.14000000000000001</v>
      </c>
      <c r="E152" s="75">
        <f>256000/1000000</f>
        <v>0.25600000000000001</v>
      </c>
      <c r="F152" s="33">
        <v>0</v>
      </c>
      <c r="G152" s="13">
        <f>SUM(C152:F152)</f>
        <v>0.39600000000000002</v>
      </c>
      <c r="H152" s="26"/>
    </row>
    <row r="153" spans="1:8" x14ac:dyDescent="0.25">
      <c r="A153" s="4"/>
      <c r="B153" s="81"/>
      <c r="C153" s="81"/>
      <c r="D153" s="81"/>
      <c r="E153" s="81"/>
      <c r="F153" s="81"/>
      <c r="G153" s="81"/>
      <c r="H153" s="81"/>
    </row>
    <row r="154" spans="1:8" x14ac:dyDescent="0.25">
      <c r="B154" s="98" t="s">
        <v>85</v>
      </c>
      <c r="C154" s="98"/>
      <c r="D154" s="98"/>
      <c r="E154" s="98"/>
      <c r="F154" s="98"/>
      <c r="G154" s="98"/>
    </row>
    <row r="155" spans="1:8" x14ac:dyDescent="0.25">
      <c r="B155" s="35" t="s">
        <v>86</v>
      </c>
      <c r="C155" s="35">
        <v>0</v>
      </c>
      <c r="D155" s="40">
        <v>81</v>
      </c>
      <c r="E155" s="57">
        <v>0</v>
      </c>
      <c r="F155" s="50">
        <v>0</v>
      </c>
      <c r="G155" s="38">
        <f>SUM(C155:F155)</f>
        <v>81</v>
      </c>
      <c r="H155" s="26"/>
    </row>
    <row r="156" spans="1:8" x14ac:dyDescent="0.25">
      <c r="B156" s="35" t="s">
        <v>87</v>
      </c>
      <c r="C156" s="13">
        <v>0</v>
      </c>
      <c r="D156" s="40">
        <v>1.1299999999999999</v>
      </c>
      <c r="E156" s="57">
        <v>0</v>
      </c>
      <c r="F156" s="50">
        <v>0</v>
      </c>
      <c r="G156" s="13">
        <f>SUM(C156:F156)</f>
        <v>1.1299999999999999</v>
      </c>
      <c r="H156" s="26"/>
    </row>
    <row r="157" spans="1:8" x14ac:dyDescent="0.25">
      <c r="A157" s="4"/>
      <c r="B157" s="81"/>
      <c r="C157" s="81"/>
      <c r="D157" s="81"/>
      <c r="E157" s="81"/>
      <c r="F157" s="81"/>
      <c r="G157" s="81"/>
      <c r="H157" s="81"/>
    </row>
    <row r="158" spans="1:8" x14ac:dyDescent="0.25">
      <c r="B158" s="98" t="s">
        <v>88</v>
      </c>
      <c r="C158" s="98"/>
      <c r="D158" s="98"/>
      <c r="E158" s="98"/>
      <c r="F158" s="98"/>
      <c r="G158" s="98"/>
    </row>
    <row r="159" spans="1:8" x14ac:dyDescent="0.25">
      <c r="B159" s="21" t="s">
        <v>89</v>
      </c>
      <c r="C159" s="22">
        <v>0</v>
      </c>
      <c r="D159" s="45">
        <v>6171</v>
      </c>
      <c r="E159" s="45">
        <f>+E155+E151+E147</f>
        <v>14</v>
      </c>
      <c r="F159" s="22">
        <v>1316</v>
      </c>
      <c r="G159" s="22">
        <f>SUM(C159:F159)</f>
        <v>7501</v>
      </c>
    </row>
    <row r="160" spans="1:8" x14ac:dyDescent="0.25">
      <c r="B160" s="21" t="s">
        <v>90</v>
      </c>
      <c r="C160" s="22">
        <v>0</v>
      </c>
      <c r="D160" s="45">
        <v>121.03349999999999</v>
      </c>
      <c r="E160" s="64">
        <f>+E156+E152+E148</f>
        <v>0.25600000000000001</v>
      </c>
      <c r="F160" s="22">
        <v>16.655750000000001</v>
      </c>
      <c r="G160" s="25">
        <f>SUM(C160:F160)</f>
        <v>137.94524999999999</v>
      </c>
    </row>
    <row r="161" spans="1:8" x14ac:dyDescent="0.25">
      <c r="A161" s="4"/>
      <c r="B161" s="81"/>
      <c r="C161" s="81"/>
      <c r="D161" s="81"/>
      <c r="E161" s="81"/>
      <c r="F161" s="81"/>
      <c r="G161" s="81"/>
      <c r="H161" s="81"/>
    </row>
    <row r="162" spans="1:8" x14ac:dyDescent="0.25">
      <c r="B162" s="95" t="s">
        <v>91</v>
      </c>
      <c r="C162" s="95"/>
      <c r="D162" s="95"/>
      <c r="E162" s="95"/>
      <c r="F162" s="95"/>
      <c r="G162" s="95"/>
    </row>
    <row r="163" spans="1:8" x14ac:dyDescent="0.25">
      <c r="B163" s="17" t="s">
        <v>86</v>
      </c>
      <c r="C163" s="40">
        <v>2909</v>
      </c>
      <c r="D163" s="40">
        <v>42506</v>
      </c>
      <c r="E163" s="40">
        <v>3485</v>
      </c>
      <c r="F163" s="38">
        <v>17975</v>
      </c>
      <c r="G163" s="38">
        <f>SUM(C163:F163)</f>
        <v>66875</v>
      </c>
    </row>
    <row r="164" spans="1:8" x14ac:dyDescent="0.25">
      <c r="B164" s="17" t="s">
        <v>87</v>
      </c>
      <c r="C164" s="40">
        <f>68479706/1000000</f>
        <v>68.479705999999993</v>
      </c>
      <c r="D164" s="40">
        <v>256.37642999999997</v>
      </c>
      <c r="E164" s="40">
        <f>52021666/1000000</f>
        <v>52.021666000000003</v>
      </c>
      <c r="F164" s="38">
        <v>103.40319599999999</v>
      </c>
      <c r="G164" s="13">
        <f>SUM(C164:F164)</f>
        <v>480.28099799999995</v>
      </c>
    </row>
    <row r="165" spans="1:8" x14ac:dyDescent="0.25">
      <c r="A165" s="4"/>
      <c r="B165" s="81"/>
      <c r="C165" s="81"/>
      <c r="D165" s="81"/>
      <c r="E165" s="81"/>
      <c r="F165" s="81"/>
      <c r="G165" s="81"/>
    </row>
    <row r="166" spans="1:8" x14ac:dyDescent="0.25">
      <c r="B166" s="88" t="s">
        <v>92</v>
      </c>
      <c r="C166" s="89"/>
      <c r="D166" s="89"/>
      <c r="E166" s="89"/>
      <c r="F166" s="89"/>
      <c r="G166" s="90"/>
    </row>
    <row r="167" spans="1:8" x14ac:dyDescent="0.25">
      <c r="B167" s="91" t="s">
        <v>93</v>
      </c>
      <c r="C167" s="92"/>
      <c r="D167" s="92"/>
      <c r="E167" s="92"/>
      <c r="F167" s="92"/>
      <c r="G167" s="93"/>
    </row>
    <row r="168" spans="1:8" x14ac:dyDescent="0.25">
      <c r="B168" s="35" t="s">
        <v>94</v>
      </c>
      <c r="C168" s="40">
        <v>281</v>
      </c>
      <c r="D168" s="40">
        <v>2793</v>
      </c>
      <c r="E168" s="40">
        <v>70</v>
      </c>
      <c r="F168" s="35">
        <v>516</v>
      </c>
      <c r="G168" s="38">
        <f>SUM(C168:F168)</f>
        <v>3660</v>
      </c>
    </row>
    <row r="169" spans="1:8" x14ac:dyDescent="0.25">
      <c r="B169" s="35" t="s">
        <v>95</v>
      </c>
      <c r="C169" s="40">
        <f>7025000/1000000</f>
        <v>7.0250000000000004</v>
      </c>
      <c r="D169" s="40">
        <v>39.695</v>
      </c>
      <c r="E169" s="40">
        <f>1750000/1000000</f>
        <v>1.75</v>
      </c>
      <c r="F169" s="38">
        <v>19.087</v>
      </c>
      <c r="G169" s="13">
        <f>SUM(C169:F169)</f>
        <v>67.557000000000002</v>
      </c>
    </row>
    <row r="170" spans="1:8" x14ac:dyDescent="0.25">
      <c r="A170" s="4"/>
      <c r="B170" s="81"/>
      <c r="C170" s="81"/>
      <c r="D170" s="81"/>
      <c r="E170" s="81"/>
      <c r="F170" s="81"/>
      <c r="G170" s="81"/>
    </row>
    <row r="171" spans="1:8" x14ac:dyDescent="0.25">
      <c r="B171" s="91" t="s">
        <v>96</v>
      </c>
      <c r="C171" s="92"/>
      <c r="D171" s="92"/>
      <c r="E171" s="92"/>
      <c r="F171" s="92"/>
      <c r="G171" s="93"/>
    </row>
    <row r="172" spans="1:8" x14ac:dyDescent="0.25">
      <c r="B172" s="35" t="s">
        <v>97</v>
      </c>
      <c r="C172" s="40">
        <v>1064</v>
      </c>
      <c r="D172" s="40">
        <v>465</v>
      </c>
      <c r="E172" s="40">
        <v>132</v>
      </c>
      <c r="F172" s="35">
        <v>332</v>
      </c>
      <c r="G172" s="38">
        <f>SUM(C172:F172)</f>
        <v>1993</v>
      </c>
    </row>
    <row r="173" spans="1:8" x14ac:dyDescent="0.25">
      <c r="B173" s="35" t="s">
        <v>95</v>
      </c>
      <c r="C173" s="40">
        <f>23408000/1000000</f>
        <v>23.408000000000001</v>
      </c>
      <c r="D173" s="40">
        <v>9.7439999999999998</v>
      </c>
      <c r="E173" s="40">
        <f>3300000/1000000</f>
        <v>3.3</v>
      </c>
      <c r="F173" s="38">
        <v>7.3</v>
      </c>
      <c r="G173" s="13">
        <f>SUM(C173:F173)</f>
        <v>43.751999999999995</v>
      </c>
    </row>
    <row r="174" spans="1:8" x14ac:dyDescent="0.25">
      <c r="A174" s="4"/>
      <c r="B174" s="81"/>
      <c r="C174" s="81"/>
      <c r="D174" s="81"/>
      <c r="E174" s="81"/>
      <c r="F174" s="81"/>
      <c r="G174" s="81"/>
      <c r="H174" s="81"/>
    </row>
    <row r="175" spans="1:8" x14ac:dyDescent="0.25">
      <c r="B175" s="91" t="s">
        <v>98</v>
      </c>
      <c r="C175" s="92"/>
      <c r="D175" s="92"/>
      <c r="E175" s="92"/>
      <c r="F175" s="92"/>
      <c r="G175" s="93"/>
    </row>
    <row r="176" spans="1:8" x14ac:dyDescent="0.25">
      <c r="B176" s="35" t="s">
        <v>97</v>
      </c>
      <c r="C176" s="40">
        <v>275</v>
      </c>
      <c r="D176" s="40">
        <v>316</v>
      </c>
      <c r="E176" s="40">
        <v>172</v>
      </c>
      <c r="F176" s="35">
        <v>48</v>
      </c>
      <c r="G176" s="38">
        <f>SUM(C176:F176)</f>
        <v>811</v>
      </c>
    </row>
    <row r="177" spans="1:8" x14ac:dyDescent="0.25">
      <c r="B177" s="35" t="s">
        <v>95</v>
      </c>
      <c r="C177" s="40">
        <f>19250000/1000000</f>
        <v>19.25</v>
      </c>
      <c r="D177" s="40">
        <v>33.130000000000003</v>
      </c>
      <c r="E177" s="40">
        <f>9401852/1000000</f>
        <v>9.4018519999999999</v>
      </c>
      <c r="F177" s="38">
        <v>4.8600000000000003</v>
      </c>
      <c r="G177" s="13">
        <f>SUM(C177:F177)</f>
        <v>66.641852</v>
      </c>
    </row>
    <row r="178" spans="1:8" x14ac:dyDescent="0.25">
      <c r="A178" s="4"/>
      <c r="B178" s="81"/>
      <c r="C178" s="81"/>
      <c r="D178" s="81"/>
      <c r="E178" s="81"/>
      <c r="F178" s="81"/>
      <c r="G178" s="81"/>
      <c r="H178" s="81"/>
    </row>
    <row r="179" spans="1:8" x14ac:dyDescent="0.25">
      <c r="B179" s="91" t="s">
        <v>99</v>
      </c>
      <c r="C179" s="92"/>
      <c r="D179" s="92"/>
      <c r="E179" s="92"/>
      <c r="F179" s="92"/>
      <c r="G179" s="93"/>
    </row>
    <row r="180" spans="1:8" x14ac:dyDescent="0.25">
      <c r="B180" s="35" t="s">
        <v>97</v>
      </c>
      <c r="C180" s="40">
        <v>370</v>
      </c>
      <c r="D180" s="40">
        <v>88651</v>
      </c>
      <c r="E180" s="28">
        <v>0</v>
      </c>
      <c r="F180" s="40">
        <v>0</v>
      </c>
      <c r="G180" s="38">
        <f>SUM(C180:F180)</f>
        <v>89021</v>
      </c>
    </row>
    <row r="181" spans="1:8" x14ac:dyDescent="0.25">
      <c r="B181" s="35" t="s">
        <v>95</v>
      </c>
      <c r="C181" s="40">
        <f>11380000/1000000</f>
        <v>11.38</v>
      </c>
      <c r="D181" s="40">
        <v>2943.6848000230912</v>
      </c>
      <c r="E181" s="28">
        <v>0</v>
      </c>
      <c r="F181" s="13">
        <v>0</v>
      </c>
      <c r="G181" s="13">
        <f>SUM(C181:F181)</f>
        <v>2955.0648000230913</v>
      </c>
    </row>
    <row r="182" spans="1:8" x14ac:dyDescent="0.25">
      <c r="A182" s="4"/>
      <c r="B182" s="81"/>
      <c r="C182" s="81"/>
      <c r="D182" s="81"/>
      <c r="E182" s="81"/>
      <c r="F182" s="81"/>
      <c r="G182" s="81"/>
      <c r="H182" s="81"/>
    </row>
    <row r="183" spans="1:8" x14ac:dyDescent="0.25">
      <c r="B183" s="95" t="s">
        <v>100</v>
      </c>
      <c r="C183" s="95"/>
      <c r="D183" s="95"/>
      <c r="E183" s="95"/>
      <c r="F183" s="95"/>
      <c r="G183" s="95"/>
    </row>
    <row r="184" spans="1:8" x14ac:dyDescent="0.25">
      <c r="B184" s="21" t="s">
        <v>101</v>
      </c>
      <c r="C184" s="45">
        <f>+C180+C176+C172+C168</f>
        <v>1990</v>
      </c>
      <c r="D184" s="45">
        <f>D168+D172+D176+D180</f>
        <v>92225</v>
      </c>
      <c r="E184" s="22">
        <f t="shared" ref="E184:E185" si="4">+E180+E176+E172+E168</f>
        <v>374</v>
      </c>
      <c r="F184" s="22">
        <f>+F168+F172+F176+F180</f>
        <v>896</v>
      </c>
      <c r="G184" s="22">
        <f>SUM(C184:F184)</f>
        <v>95485</v>
      </c>
    </row>
    <row r="185" spans="1:8" x14ac:dyDescent="0.25">
      <c r="B185" s="21" t="s">
        <v>102</v>
      </c>
      <c r="C185" s="45">
        <f>+C181+C177+C173+C169</f>
        <v>61.063000000000002</v>
      </c>
      <c r="D185" s="45">
        <f>D169+D173+D177+D181</f>
        <v>3026.2538000230911</v>
      </c>
      <c r="E185" s="22">
        <f t="shared" si="4"/>
        <v>14.451851999999999</v>
      </c>
      <c r="F185" s="22">
        <f>+F169+F173+F177+F181</f>
        <v>31.247</v>
      </c>
      <c r="G185" s="25">
        <f>SUM(C185:F185)</f>
        <v>3133.0156520230912</v>
      </c>
    </row>
    <row r="186" spans="1:8" x14ac:dyDescent="0.25">
      <c r="A186" s="4"/>
      <c r="B186" s="81"/>
      <c r="C186" s="81"/>
      <c r="D186" s="81"/>
      <c r="E186" s="81"/>
      <c r="F186" s="81"/>
      <c r="G186" s="81"/>
      <c r="H186" s="81"/>
    </row>
    <row r="187" spans="1:8" x14ac:dyDescent="0.25">
      <c r="B187" s="95" t="s">
        <v>103</v>
      </c>
      <c r="C187" s="95"/>
      <c r="D187" s="95"/>
      <c r="E187" s="95"/>
      <c r="F187" s="95"/>
      <c r="G187" s="95"/>
    </row>
    <row r="188" spans="1:8" x14ac:dyDescent="0.25">
      <c r="B188" s="17" t="s">
        <v>104</v>
      </c>
      <c r="C188" s="40">
        <v>1034</v>
      </c>
      <c r="D188" s="40">
        <v>4174</v>
      </c>
      <c r="E188" s="38">
        <v>39</v>
      </c>
      <c r="F188" s="38">
        <f>F167+F172+F176+F180+F163</f>
        <v>18355</v>
      </c>
      <c r="G188" s="38">
        <f>SUM(C188:F188)</f>
        <v>23602</v>
      </c>
    </row>
    <row r="189" spans="1:8" x14ac:dyDescent="0.25">
      <c r="B189" s="17" t="s">
        <v>105</v>
      </c>
      <c r="C189" s="40">
        <f>11134681/1000000</f>
        <v>11.134681</v>
      </c>
      <c r="D189" s="40">
        <v>34.462000000000003</v>
      </c>
      <c r="E189" s="38">
        <f>1560000/1000000</f>
        <v>1.56</v>
      </c>
      <c r="F189" s="38">
        <f>F168+F173+F177+F181+F164</f>
        <v>631.56319599999995</v>
      </c>
      <c r="G189" s="13">
        <f>SUM(C189:F189)</f>
        <v>678.719877</v>
      </c>
    </row>
    <row r="190" spans="1:8" x14ac:dyDescent="0.25">
      <c r="A190" s="4"/>
      <c r="B190" s="81"/>
      <c r="C190" s="81"/>
      <c r="D190" s="81"/>
      <c r="E190" s="81"/>
      <c r="F190" s="81"/>
      <c r="G190" s="81"/>
      <c r="H190" s="81"/>
    </row>
    <row r="191" spans="1:8" x14ac:dyDescent="0.25">
      <c r="B191" s="95" t="s">
        <v>106</v>
      </c>
      <c r="C191" s="95"/>
      <c r="D191" s="95"/>
      <c r="E191" s="95"/>
      <c r="F191" s="95"/>
      <c r="G191" s="95"/>
    </row>
    <row r="192" spans="1:8" x14ac:dyDescent="0.25">
      <c r="B192" s="21" t="s">
        <v>107</v>
      </c>
      <c r="C192" s="45">
        <v>5933</v>
      </c>
      <c r="D192" s="45">
        <v>145076</v>
      </c>
      <c r="E192" s="22">
        <f t="shared" ref="E192:E193" si="5">+E188+E184+E163+E159</f>
        <v>3912</v>
      </c>
      <c r="F192" s="22">
        <f>F159+F163+F184+F188</f>
        <v>38542</v>
      </c>
      <c r="G192" s="22">
        <f>SUM(C192:F192)</f>
        <v>193463</v>
      </c>
    </row>
    <row r="193" spans="2:7" x14ac:dyDescent="0.25">
      <c r="B193" s="21" t="s">
        <v>108</v>
      </c>
      <c r="C193" s="45">
        <f>140677387/1000000</f>
        <v>140.67738700000001</v>
      </c>
      <c r="D193" s="45">
        <v>3438.1257300230909</v>
      </c>
      <c r="E193" s="22">
        <f t="shared" si="5"/>
        <v>68.289518000000001</v>
      </c>
      <c r="F193" s="22">
        <f>F160+F185+F164+F189</f>
        <v>782.86914200000001</v>
      </c>
      <c r="G193" s="25">
        <f>SUM(C193:F193)</f>
        <v>4429.9617770230907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109</v>
      </c>
      <c r="C197" s="10"/>
      <c r="G197" s="9"/>
    </row>
    <row r="198" spans="2:7" x14ac:dyDescent="0.25">
      <c r="B198" t="s">
        <v>113</v>
      </c>
    </row>
  </sheetData>
  <mergeCells count="81"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6514-8D91-4672-ABE5-25727AB10C3B}">
  <dimension ref="A1:BD198"/>
  <sheetViews>
    <sheetView tabSelected="1" topLeftCell="B1" zoomScaleNormal="100" workbookViewId="0">
      <selection activeCell="C6" sqref="C6"/>
    </sheetView>
  </sheetViews>
  <sheetFormatPr baseColWidth="10" defaultColWidth="9.140625" defaultRowHeight="15" x14ac:dyDescent="0.25"/>
  <cols>
    <col min="1" max="1" width="11.42578125" style="1" customWidth="1"/>
    <col min="2" max="2" width="75.140625" bestFit="1" customWidth="1"/>
    <col min="3" max="3" width="25" customWidth="1"/>
    <col min="4" max="4" width="22.7109375" customWidth="1"/>
    <col min="5" max="5" width="24.140625" bestFit="1" customWidth="1"/>
    <col min="6" max="6" width="22" bestFit="1" customWidth="1"/>
    <col min="7" max="7" width="22" style="9" customWidth="1"/>
    <col min="8" max="8" width="11.42578125" style="1" customWidth="1"/>
    <col min="9" max="9" width="14.7109375" style="1" bestFit="1" customWidth="1"/>
    <col min="10" max="56" width="11.42578125" style="1" customWidth="1"/>
    <col min="57" max="256" width="11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</row>
    <row r="2" spans="1:7" ht="21" x14ac:dyDescent="0.25">
      <c r="B2" s="1"/>
      <c r="C2" s="82" t="s">
        <v>1</v>
      </c>
      <c r="D2" s="83"/>
      <c r="E2" s="83"/>
      <c r="F2" s="83"/>
      <c r="G2" s="84"/>
    </row>
    <row r="3" spans="1:7" ht="21" x14ac:dyDescent="0.35">
      <c r="B3" s="1"/>
      <c r="C3" s="7" t="s">
        <v>2</v>
      </c>
      <c r="D3" s="7" t="s">
        <v>3</v>
      </c>
      <c r="E3" s="8" t="s">
        <v>110</v>
      </c>
      <c r="F3" s="7" t="s">
        <v>4</v>
      </c>
      <c r="G3" s="18" t="s">
        <v>5</v>
      </c>
    </row>
    <row r="4" spans="1:7" ht="21" x14ac:dyDescent="0.35">
      <c r="B4" s="85" t="s">
        <v>6</v>
      </c>
      <c r="C4" s="86"/>
      <c r="D4" s="86"/>
      <c r="E4" s="86"/>
      <c r="F4" s="86"/>
      <c r="G4" s="87"/>
    </row>
    <row r="5" spans="1:7" x14ac:dyDescent="0.25">
      <c r="B5" s="88" t="s">
        <v>7</v>
      </c>
      <c r="C5" s="89"/>
      <c r="D5" s="89"/>
      <c r="E5" s="89"/>
      <c r="F5" s="89"/>
      <c r="G5" s="90"/>
    </row>
    <row r="6" spans="1:7" x14ac:dyDescent="0.25">
      <c r="B6" s="6" t="s">
        <v>8</v>
      </c>
      <c r="C6" s="40">
        <v>55428</v>
      </c>
      <c r="D6" s="40">
        <v>8201</v>
      </c>
      <c r="E6" s="40">
        <v>9243</v>
      </c>
      <c r="F6" s="40">
        <v>10588</v>
      </c>
      <c r="G6" s="15">
        <f>+F6+E6+D6+C6</f>
        <v>83460</v>
      </c>
    </row>
    <row r="7" spans="1:7" x14ac:dyDescent="0.25">
      <c r="B7" s="35" t="s">
        <v>9</v>
      </c>
      <c r="C7" s="40">
        <v>530</v>
      </c>
      <c r="D7" s="40">
        <v>231</v>
      </c>
      <c r="E7" s="40">
        <v>11</v>
      </c>
      <c r="F7" s="40">
        <v>131</v>
      </c>
      <c r="G7" s="15">
        <f>+F7+E7+D7+C7</f>
        <v>903</v>
      </c>
    </row>
    <row r="8" spans="1:7" x14ac:dyDescent="0.25">
      <c r="B8" s="21" t="s">
        <v>10</v>
      </c>
      <c r="C8" s="30">
        <f>SUM(C6:C7)</f>
        <v>55958</v>
      </c>
      <c r="D8" s="30">
        <f>+D6+D7</f>
        <v>8432</v>
      </c>
      <c r="E8" s="30">
        <f>SUM(E6:E7)</f>
        <v>9254</v>
      </c>
      <c r="F8" s="30">
        <v>10719</v>
      </c>
      <c r="G8" s="30">
        <f>+F8+E8+D8+C8</f>
        <v>84363</v>
      </c>
    </row>
    <row r="9" spans="1:7" x14ac:dyDescent="0.25">
      <c r="B9" s="81"/>
      <c r="C9" s="81"/>
      <c r="D9" s="81"/>
      <c r="E9" s="81"/>
      <c r="F9" s="81"/>
      <c r="G9" s="81"/>
    </row>
    <row r="10" spans="1:7" x14ac:dyDescent="0.25">
      <c r="B10" s="88" t="s">
        <v>11</v>
      </c>
      <c r="C10" s="89"/>
      <c r="D10" s="89"/>
      <c r="E10" s="89"/>
      <c r="F10" s="89"/>
      <c r="G10" s="90"/>
    </row>
    <row r="11" spans="1:7" x14ac:dyDescent="0.25">
      <c r="B11" s="91" t="s">
        <v>12</v>
      </c>
      <c r="C11" s="92"/>
      <c r="D11" s="92"/>
      <c r="E11" s="92"/>
      <c r="F11" s="92"/>
      <c r="G11" s="93"/>
    </row>
    <row r="12" spans="1:7" x14ac:dyDescent="0.25">
      <c r="B12" s="19" t="s">
        <v>13</v>
      </c>
      <c r="C12" s="15">
        <v>933380</v>
      </c>
      <c r="D12" s="15">
        <v>145331</v>
      </c>
      <c r="E12" s="15">
        <v>56963</v>
      </c>
      <c r="F12" s="20">
        <v>0</v>
      </c>
      <c r="G12" s="20">
        <f>SUM(C12:F12)</f>
        <v>1135674</v>
      </c>
    </row>
    <row r="13" spans="1:7" x14ac:dyDescent="0.25">
      <c r="B13" s="19" t="s">
        <v>14</v>
      </c>
      <c r="C13" s="15">
        <v>2186859</v>
      </c>
      <c r="D13" s="15">
        <v>512670</v>
      </c>
      <c r="E13" s="15">
        <v>227507</v>
      </c>
      <c r="F13" s="20">
        <v>0</v>
      </c>
      <c r="G13" s="20">
        <f>SUM(C13:F13)</f>
        <v>2927036</v>
      </c>
    </row>
    <row r="14" spans="1:7" x14ac:dyDescent="0.25">
      <c r="B14" s="21" t="s">
        <v>15</v>
      </c>
      <c r="C14" s="22">
        <f>C13+C12</f>
        <v>3120239</v>
      </c>
      <c r="D14" s="22">
        <v>929737</v>
      </c>
      <c r="E14" s="22">
        <v>284470</v>
      </c>
      <c r="F14" s="22">
        <v>356660</v>
      </c>
      <c r="G14" s="22">
        <f>SUM(C14:F14)</f>
        <v>4691106</v>
      </c>
    </row>
    <row r="15" spans="1:7" x14ac:dyDescent="0.25">
      <c r="B15" s="21" t="s">
        <v>16</v>
      </c>
      <c r="C15" s="22">
        <v>417146</v>
      </c>
      <c r="D15" s="22">
        <v>143174</v>
      </c>
      <c r="E15" s="22">
        <v>2860</v>
      </c>
      <c r="F15" s="22">
        <v>93174</v>
      </c>
      <c r="G15" s="22">
        <f>SUM(C15:F15)</f>
        <v>656354</v>
      </c>
    </row>
    <row r="16" spans="1:7" x14ac:dyDescent="0.25">
      <c r="B16" s="21" t="s">
        <v>17</v>
      </c>
      <c r="C16" s="79">
        <f>C15+C14</f>
        <v>3537385</v>
      </c>
      <c r="D16" s="22">
        <v>1072911</v>
      </c>
      <c r="E16" s="22">
        <v>287330</v>
      </c>
      <c r="F16" s="22">
        <v>449834</v>
      </c>
      <c r="G16" s="22">
        <f>SUM(C16:F16)</f>
        <v>5347460</v>
      </c>
    </row>
    <row r="17" spans="2:8" x14ac:dyDescent="0.25">
      <c r="B17" s="81"/>
      <c r="C17" s="81"/>
      <c r="D17" s="81"/>
      <c r="E17" s="81"/>
      <c r="F17" s="81"/>
      <c r="G17" s="81"/>
    </row>
    <row r="18" spans="2:8" x14ac:dyDescent="0.25">
      <c r="B18" s="91" t="s">
        <v>18</v>
      </c>
      <c r="C18" s="92"/>
      <c r="D18" s="92"/>
      <c r="E18" s="92"/>
      <c r="F18" s="92"/>
      <c r="G18" s="93"/>
    </row>
    <row r="19" spans="2:8" x14ac:dyDescent="0.25">
      <c r="B19" s="17" t="s">
        <v>19</v>
      </c>
      <c r="C19" s="40">
        <v>3632</v>
      </c>
      <c r="D19" s="40">
        <v>2569</v>
      </c>
      <c r="E19" s="28">
        <v>0</v>
      </c>
      <c r="F19" s="28">
        <v>0</v>
      </c>
      <c r="G19" s="28">
        <f>SUM(C19:F19)</f>
        <v>6201</v>
      </c>
    </row>
    <row r="20" spans="2:8" x14ac:dyDescent="0.25">
      <c r="B20" s="94"/>
      <c r="C20" s="94"/>
      <c r="D20" s="94"/>
      <c r="E20" s="94"/>
      <c r="F20" s="94"/>
      <c r="G20" s="94"/>
    </row>
    <row r="21" spans="2:8" x14ac:dyDescent="0.25">
      <c r="B21" s="21" t="s">
        <v>20</v>
      </c>
      <c r="C21" s="22">
        <f>+C19+C16</f>
        <v>3541017</v>
      </c>
      <c r="D21" s="22">
        <f>SUM(D19,D16)</f>
        <v>1075480</v>
      </c>
      <c r="E21" s="22">
        <f>+E19+E16</f>
        <v>287330</v>
      </c>
      <c r="F21" s="22">
        <f>SUM(F16,F19)</f>
        <v>449834</v>
      </c>
      <c r="G21" s="22">
        <f>SUM(C21:F21)</f>
        <v>5353661</v>
      </c>
    </row>
    <row r="22" spans="2:8" x14ac:dyDescent="0.25">
      <c r="B22" s="1"/>
      <c r="C22" s="1"/>
      <c r="D22" s="1"/>
      <c r="E22" s="1"/>
      <c r="F22" s="1"/>
    </row>
    <row r="23" spans="2:8" x14ac:dyDescent="0.25">
      <c r="B23" s="27" t="s">
        <v>21</v>
      </c>
      <c r="C23" s="11"/>
      <c r="D23" s="11"/>
      <c r="E23" s="11"/>
      <c r="F23" s="11"/>
      <c r="G23" s="12"/>
    </row>
    <row r="24" spans="2:8" x14ac:dyDescent="0.25">
      <c r="B24" s="21" t="s">
        <v>22</v>
      </c>
      <c r="C24" s="22">
        <v>406509</v>
      </c>
      <c r="D24" s="22">
        <v>218592</v>
      </c>
      <c r="E24" s="22">
        <v>135107</v>
      </c>
      <c r="F24" s="22">
        <v>669801</v>
      </c>
      <c r="G24" s="22">
        <f>SUM(C24:F24)</f>
        <v>1430009</v>
      </c>
    </row>
    <row r="25" spans="2:8" x14ac:dyDescent="0.25">
      <c r="B25" s="1"/>
      <c r="C25" s="1"/>
      <c r="D25" s="1"/>
      <c r="E25" s="1"/>
      <c r="F25" s="1"/>
    </row>
    <row r="26" spans="2:8" x14ac:dyDescent="0.25">
      <c r="B26" s="27" t="s">
        <v>23</v>
      </c>
      <c r="C26" s="11"/>
      <c r="D26" s="11"/>
      <c r="E26" s="11"/>
      <c r="F26" s="11"/>
      <c r="G26" s="12"/>
    </row>
    <row r="27" spans="2:8" x14ac:dyDescent="0.25">
      <c r="B27" s="21" t="s">
        <v>24</v>
      </c>
      <c r="C27" s="22">
        <f>SUM(C21,C24)</f>
        <v>3947526</v>
      </c>
      <c r="D27" s="22">
        <f>SUM(D21,D24)</f>
        <v>1294072</v>
      </c>
      <c r="E27" s="22">
        <f>+E21+E24</f>
        <v>422437</v>
      </c>
      <c r="F27" s="22">
        <f>+F24+F21</f>
        <v>1119635</v>
      </c>
      <c r="G27" s="22">
        <f>SUM(C27:F27)</f>
        <v>6783670</v>
      </c>
    </row>
    <row r="28" spans="2:8" x14ac:dyDescent="0.25">
      <c r="B28" s="81"/>
      <c r="C28" s="81"/>
      <c r="D28" s="81"/>
      <c r="E28" s="81"/>
      <c r="F28" s="81"/>
      <c r="G28" s="81"/>
      <c r="H28" s="81"/>
    </row>
    <row r="29" spans="2:8" x14ac:dyDescent="0.25">
      <c r="B29" s="88" t="s">
        <v>25</v>
      </c>
      <c r="C29" s="89"/>
      <c r="D29" s="89"/>
      <c r="E29" s="89"/>
      <c r="F29" s="89"/>
      <c r="G29" s="90"/>
    </row>
    <row r="30" spans="2:8" x14ac:dyDescent="0.25">
      <c r="B30" s="35" t="s">
        <v>26</v>
      </c>
      <c r="C30" s="40">
        <v>1310040</v>
      </c>
      <c r="D30" s="40">
        <v>230687</v>
      </c>
      <c r="E30" s="40">
        <v>91115</v>
      </c>
      <c r="F30" s="40">
        <v>216577</v>
      </c>
      <c r="G30" s="40">
        <f>SUM(C30:F30)</f>
        <v>1848419</v>
      </c>
    </row>
    <row r="31" spans="2:8" x14ac:dyDescent="0.25">
      <c r="B31" s="81"/>
      <c r="C31" s="81"/>
      <c r="D31" s="81"/>
      <c r="E31" s="81"/>
      <c r="F31" s="81"/>
      <c r="G31" s="81"/>
      <c r="H31" s="81"/>
    </row>
    <row r="32" spans="2:8" x14ac:dyDescent="0.25">
      <c r="B32" s="88" t="s">
        <v>27</v>
      </c>
      <c r="C32" s="89"/>
      <c r="D32" s="89"/>
      <c r="E32" s="89"/>
      <c r="F32" s="89"/>
      <c r="G32" s="90"/>
    </row>
    <row r="33" spans="1:9" x14ac:dyDescent="0.25">
      <c r="B33" s="35" t="s">
        <v>28</v>
      </c>
      <c r="C33" s="40">
        <v>2871074533492</v>
      </c>
      <c r="D33" s="40">
        <v>501739643783</v>
      </c>
      <c r="E33" s="40">
        <v>203365571768</v>
      </c>
      <c r="F33" s="40">
        <v>310199782060</v>
      </c>
      <c r="G33" s="40"/>
    </row>
    <row r="34" spans="1:9" x14ac:dyDescent="0.25">
      <c r="B34" s="35" t="s">
        <v>29</v>
      </c>
      <c r="C34" s="40">
        <v>125612685204</v>
      </c>
      <c r="D34" s="40">
        <v>52987000396</v>
      </c>
      <c r="E34" s="40">
        <v>31135180700</v>
      </c>
      <c r="F34" s="40">
        <v>122987859832</v>
      </c>
      <c r="G34" s="40"/>
    </row>
    <row r="35" spans="1:9" x14ac:dyDescent="0.25">
      <c r="B35" s="21" t="s">
        <v>30</v>
      </c>
      <c r="C35" s="22">
        <f>SUM(C33:C34)</f>
        <v>2996687218696</v>
      </c>
      <c r="D35" s="22">
        <f>+D34+D33</f>
        <v>554726644179</v>
      </c>
      <c r="E35" s="22">
        <f>+E33+E34</f>
        <v>234500752468</v>
      </c>
      <c r="F35" s="22">
        <v>433187641892</v>
      </c>
      <c r="G35" s="22">
        <f>SUM(C35:F35)</f>
        <v>4219102257235</v>
      </c>
    </row>
    <row r="36" spans="1:9" x14ac:dyDescent="0.25">
      <c r="B36" s="81"/>
      <c r="C36" s="81"/>
      <c r="D36" s="81"/>
      <c r="E36" s="81"/>
      <c r="F36" s="81"/>
      <c r="G36" s="81"/>
      <c r="H36" s="81"/>
    </row>
    <row r="37" spans="1:9" ht="21" x14ac:dyDescent="0.35">
      <c r="B37" s="85" t="s">
        <v>31</v>
      </c>
      <c r="C37" s="86"/>
      <c r="D37" s="86"/>
      <c r="E37" s="86"/>
      <c r="F37" s="86"/>
      <c r="G37" s="87"/>
    </row>
    <row r="38" spans="1:9" x14ac:dyDescent="0.25">
      <c r="B38" s="88" t="s">
        <v>32</v>
      </c>
      <c r="C38" s="89"/>
      <c r="D38" s="89"/>
      <c r="E38" s="89"/>
      <c r="F38" s="89"/>
      <c r="G38" s="90"/>
    </row>
    <row r="39" spans="1:9" x14ac:dyDescent="0.25">
      <c r="B39" s="35" t="s">
        <v>33</v>
      </c>
      <c r="C39" s="40">
        <v>615475</v>
      </c>
      <c r="D39" s="40">
        <v>139402</v>
      </c>
      <c r="E39" s="40">
        <v>51747</v>
      </c>
      <c r="F39" s="40">
        <v>70331</v>
      </c>
      <c r="G39" s="38">
        <f>SUM(C39:F39)</f>
        <v>876955</v>
      </c>
      <c r="H39" s="9"/>
      <c r="I39" s="9"/>
    </row>
    <row r="40" spans="1:9" x14ac:dyDescent="0.25">
      <c r="B40" s="35" t="s">
        <v>34</v>
      </c>
      <c r="C40" s="40">
        <f>2134491160/1000000</f>
        <v>2134.49116</v>
      </c>
      <c r="D40" s="40">
        <v>808.10953400000005</v>
      </c>
      <c r="E40" s="40">
        <v>318</v>
      </c>
      <c r="F40" s="15">
        <v>415.270329</v>
      </c>
      <c r="G40" s="13">
        <f>SUM(C40:F40)</f>
        <v>3675.8710230000002</v>
      </c>
      <c r="H40" s="9"/>
      <c r="I40" s="9"/>
    </row>
    <row r="41" spans="1:9" x14ac:dyDescent="0.25">
      <c r="A41" s="4"/>
      <c r="B41" s="81"/>
      <c r="C41" s="81"/>
      <c r="D41" s="81"/>
      <c r="E41" s="81"/>
      <c r="F41" s="81"/>
      <c r="G41" s="81"/>
      <c r="H41" s="81"/>
      <c r="I41" s="9"/>
    </row>
    <row r="42" spans="1:9" x14ac:dyDescent="0.25">
      <c r="B42" s="95" t="s">
        <v>35</v>
      </c>
      <c r="C42" s="95"/>
      <c r="D42" s="95"/>
      <c r="E42" s="95"/>
      <c r="F42" s="95"/>
      <c r="G42" s="95"/>
      <c r="I42" s="9"/>
    </row>
    <row r="43" spans="1:9" x14ac:dyDescent="0.25">
      <c r="B43" s="35" t="s">
        <v>36</v>
      </c>
      <c r="C43" s="40">
        <v>45</v>
      </c>
      <c r="D43" s="40">
        <v>13</v>
      </c>
      <c r="E43" s="40">
        <v>1</v>
      </c>
      <c r="F43" s="40">
        <v>5</v>
      </c>
      <c r="G43" s="38">
        <f>SUM(C43:F43)</f>
        <v>64</v>
      </c>
      <c r="H43" s="9"/>
      <c r="I43" s="9"/>
    </row>
    <row r="44" spans="1:9" x14ac:dyDescent="0.25">
      <c r="B44" s="35" t="s">
        <v>37</v>
      </c>
      <c r="C44" s="39">
        <f>5107665
/1000000</f>
        <v>5.1076649999999999</v>
      </c>
      <c r="D44" s="39">
        <v>0.20555699999999999</v>
      </c>
      <c r="E44" s="39">
        <v>0.1</v>
      </c>
      <c r="F44" s="39">
        <v>0.121561</v>
      </c>
      <c r="G44" s="13">
        <f>SUM(C44:F44)</f>
        <v>5.5347829999999991</v>
      </c>
      <c r="H44" s="9"/>
      <c r="I44" s="9"/>
    </row>
    <row r="45" spans="1:9" x14ac:dyDescent="0.25">
      <c r="A45" s="4"/>
      <c r="B45" s="81"/>
      <c r="C45" s="81"/>
      <c r="D45" s="81"/>
      <c r="E45" s="81"/>
      <c r="F45" s="81"/>
      <c r="G45" s="81"/>
      <c r="H45" s="81"/>
      <c r="I45" s="9"/>
    </row>
    <row r="46" spans="1:9" x14ac:dyDescent="0.25">
      <c r="B46" s="95" t="s">
        <v>38</v>
      </c>
      <c r="C46" s="95"/>
      <c r="D46" s="95"/>
      <c r="E46" s="95"/>
      <c r="F46" s="95"/>
      <c r="G46" s="95"/>
      <c r="I46" s="9"/>
    </row>
    <row r="47" spans="1:9" x14ac:dyDescent="0.25">
      <c r="B47" s="35" t="s">
        <v>39</v>
      </c>
      <c r="C47" s="40">
        <v>141257</v>
      </c>
      <c r="D47" s="40">
        <v>83180</v>
      </c>
      <c r="E47" s="40">
        <v>14581</v>
      </c>
      <c r="F47" s="40">
        <v>64379</v>
      </c>
      <c r="G47" s="40">
        <f>SUM(C47:F47)</f>
        <v>303397</v>
      </c>
      <c r="H47" s="9"/>
      <c r="I47" s="9"/>
    </row>
    <row r="48" spans="1:9" x14ac:dyDescent="0.25">
      <c r="B48" s="35" t="s">
        <v>40</v>
      </c>
      <c r="C48" s="40">
        <f>( 62578781624 + 1067793774 )/1000000</f>
        <v>63646.575398000001</v>
      </c>
      <c r="D48" s="40">
        <v>22957.187151999999</v>
      </c>
      <c r="E48" s="40">
        <v>9027.4886530000003</v>
      </c>
      <c r="F48" s="40">
        <v>8921.9398330000004</v>
      </c>
      <c r="G48" s="13">
        <f>SUM(C48:F48)</f>
        <v>104553.19103599999</v>
      </c>
      <c r="H48" s="9"/>
      <c r="I48" s="9"/>
    </row>
    <row r="49" spans="1:8" x14ac:dyDescent="0.25">
      <c r="A49" s="4"/>
      <c r="B49" s="81"/>
      <c r="C49" s="81"/>
      <c r="D49" s="81"/>
      <c r="E49" s="81"/>
      <c r="F49" s="81"/>
      <c r="G49" s="81"/>
      <c r="H49" s="81"/>
    </row>
    <row r="50" spans="1:8" ht="21" x14ac:dyDescent="0.35">
      <c r="B50" s="85" t="s">
        <v>41</v>
      </c>
      <c r="C50" s="86"/>
      <c r="D50" s="86"/>
      <c r="E50" s="86"/>
      <c r="F50" s="86"/>
      <c r="G50" s="87"/>
    </row>
    <row r="51" spans="1:8" x14ac:dyDescent="0.25">
      <c r="A51" s="4"/>
      <c r="B51" s="96"/>
      <c r="C51" s="96"/>
      <c r="D51" s="96"/>
      <c r="E51" s="96"/>
      <c r="F51" s="96"/>
      <c r="G51" s="96"/>
      <c r="H51" s="96"/>
    </row>
    <row r="52" spans="1:8" x14ac:dyDescent="0.25">
      <c r="B52" s="95" t="s">
        <v>42</v>
      </c>
      <c r="C52" s="95"/>
      <c r="D52" s="95"/>
      <c r="E52" s="95"/>
      <c r="F52" s="95"/>
      <c r="G52" s="95"/>
    </row>
    <row r="53" spans="1:8" x14ac:dyDescent="0.25">
      <c r="B53" s="97" t="s">
        <v>43</v>
      </c>
      <c r="C53" s="97"/>
      <c r="D53" s="97"/>
      <c r="E53" s="97"/>
      <c r="F53" s="97"/>
      <c r="G53" s="97"/>
    </row>
    <row r="54" spans="1:8" x14ac:dyDescent="0.25">
      <c r="B54" s="35" t="s">
        <v>44</v>
      </c>
      <c r="C54" s="40">
        <v>60989</v>
      </c>
      <c r="D54" s="40">
        <v>1926</v>
      </c>
      <c r="E54" s="40">
        <v>1670</v>
      </c>
      <c r="F54" s="40">
        <v>1799</v>
      </c>
      <c r="G54" s="40">
        <f t="shared" ref="G54:G70" si="0">SUM(C54:F54)</f>
        <v>66384</v>
      </c>
    </row>
    <row r="55" spans="1:8" x14ac:dyDescent="0.25">
      <c r="B55" s="35" t="s">
        <v>45</v>
      </c>
      <c r="C55" s="40">
        <v>64182.478482999999</v>
      </c>
      <c r="D55" s="40">
        <v>2967.6932080000001</v>
      </c>
      <c r="E55" s="40">
        <v>4019.6448089999999</v>
      </c>
      <c r="F55" s="40">
        <v>5187</v>
      </c>
      <c r="G55" s="40">
        <f t="shared" si="0"/>
        <v>76356.816500000001</v>
      </c>
    </row>
    <row r="56" spans="1:8" x14ac:dyDescent="0.25">
      <c r="B56" s="35" t="s">
        <v>46</v>
      </c>
      <c r="C56" s="40">
        <v>17.066011903785899</v>
      </c>
      <c r="D56" s="40">
        <v>42.055391464144328</v>
      </c>
      <c r="E56" s="40">
        <v>33</v>
      </c>
      <c r="F56" s="40">
        <v>32</v>
      </c>
      <c r="G56" s="40">
        <f>AVERAGE(C56:F56)</f>
        <v>31.030350841982557</v>
      </c>
    </row>
    <row r="57" spans="1:8" x14ac:dyDescent="0.25">
      <c r="B57" s="35" t="s">
        <v>47</v>
      </c>
      <c r="C57" s="40">
        <v>810307</v>
      </c>
      <c r="D57" s="40">
        <v>156440</v>
      </c>
      <c r="E57" s="40">
        <v>48966</v>
      </c>
      <c r="F57" s="40">
        <v>72813</v>
      </c>
      <c r="G57" s="40">
        <f t="shared" si="0"/>
        <v>1088526</v>
      </c>
    </row>
    <row r="58" spans="1:8" x14ac:dyDescent="0.25">
      <c r="B58" s="35" t="s">
        <v>48</v>
      </c>
      <c r="C58" s="40">
        <v>1406572.5399760001</v>
      </c>
      <c r="D58" s="40">
        <v>284121.87644299999</v>
      </c>
      <c r="E58" s="40">
        <v>86689.060624999998</v>
      </c>
      <c r="F58" s="40">
        <v>131953</v>
      </c>
      <c r="G58" s="13">
        <f t="shared" si="0"/>
        <v>1909336.4770440001</v>
      </c>
    </row>
    <row r="59" spans="1:8" x14ac:dyDescent="0.25">
      <c r="B59" s="98" t="s">
        <v>49</v>
      </c>
      <c r="C59" s="98"/>
      <c r="D59" s="98"/>
      <c r="E59" s="98"/>
      <c r="F59" s="98"/>
      <c r="G59" s="98"/>
    </row>
    <row r="60" spans="1:8" x14ac:dyDescent="0.25">
      <c r="B60" s="35" t="s">
        <v>44</v>
      </c>
      <c r="C60" s="23">
        <v>0</v>
      </c>
      <c r="D60" s="17">
        <v>0</v>
      </c>
      <c r="E60" s="17">
        <v>0</v>
      </c>
      <c r="F60" s="23">
        <v>0</v>
      </c>
      <c r="G60" s="40">
        <f t="shared" si="0"/>
        <v>0</v>
      </c>
    </row>
    <row r="61" spans="1:8" x14ac:dyDescent="0.25">
      <c r="B61" s="35" t="s">
        <v>45</v>
      </c>
      <c r="C61" s="23">
        <v>0</v>
      </c>
      <c r="D61" s="29">
        <v>0</v>
      </c>
      <c r="E61" s="29">
        <v>0</v>
      </c>
      <c r="F61" s="23">
        <v>0</v>
      </c>
      <c r="G61" s="23">
        <v>0</v>
      </c>
    </row>
    <row r="62" spans="1:8" x14ac:dyDescent="0.25">
      <c r="B62" s="35" t="s">
        <v>46</v>
      </c>
      <c r="C62" s="23">
        <v>0</v>
      </c>
      <c r="D62" s="29">
        <v>0</v>
      </c>
      <c r="E62" s="29">
        <v>0</v>
      </c>
      <c r="F62" s="23">
        <v>0</v>
      </c>
      <c r="G62" s="23">
        <v>0</v>
      </c>
    </row>
    <row r="63" spans="1:8" x14ac:dyDescent="0.25">
      <c r="B63" s="35" t="s">
        <v>47</v>
      </c>
      <c r="C63" s="23">
        <v>0</v>
      </c>
      <c r="D63" s="38">
        <v>0</v>
      </c>
      <c r="E63" s="38">
        <v>0</v>
      </c>
      <c r="F63" s="23">
        <v>0</v>
      </c>
      <c r="G63" s="40">
        <f t="shared" si="0"/>
        <v>0</v>
      </c>
    </row>
    <row r="64" spans="1:8" x14ac:dyDescent="0.25">
      <c r="B64" s="35" t="s">
        <v>48</v>
      </c>
      <c r="C64" s="23">
        <v>0</v>
      </c>
      <c r="D64" s="38">
        <v>0</v>
      </c>
      <c r="E64" s="38">
        <v>0</v>
      </c>
      <c r="F64" s="23">
        <v>0</v>
      </c>
      <c r="G64" s="39">
        <f t="shared" si="0"/>
        <v>0</v>
      </c>
    </row>
    <row r="65" spans="1:8" x14ac:dyDescent="0.25">
      <c r="B65" s="97" t="s">
        <v>50</v>
      </c>
      <c r="C65" s="97"/>
      <c r="D65" s="97"/>
      <c r="E65" s="97"/>
      <c r="F65" s="97"/>
      <c r="G65" s="97"/>
    </row>
    <row r="66" spans="1:8" x14ac:dyDescent="0.25">
      <c r="B66" s="35" t="s">
        <v>44</v>
      </c>
      <c r="C66" s="41">
        <v>2603</v>
      </c>
      <c r="D66" s="41">
        <v>641</v>
      </c>
      <c r="E66" s="41">
        <v>1703</v>
      </c>
      <c r="F66" s="41">
        <v>6533</v>
      </c>
      <c r="G66" s="38">
        <f t="shared" si="0"/>
        <v>11480</v>
      </c>
    </row>
    <row r="67" spans="1:8" x14ac:dyDescent="0.25">
      <c r="B67" s="35" t="s">
        <v>45</v>
      </c>
      <c r="C67" s="41">
        <v>2227.3491990000002</v>
      </c>
      <c r="D67" s="41">
        <v>738.89904000000001</v>
      </c>
      <c r="E67" s="41">
        <v>2831.0530319999998</v>
      </c>
      <c r="F67" s="41">
        <v>7998</v>
      </c>
      <c r="G67" s="38">
        <f t="shared" si="0"/>
        <v>13795.301271</v>
      </c>
    </row>
    <row r="68" spans="1:8" x14ac:dyDescent="0.25">
      <c r="B68" s="35" t="s">
        <v>46</v>
      </c>
      <c r="C68" s="41">
        <v>41.212831348444098</v>
      </c>
      <c r="D68" s="41">
        <v>55.724680445463648</v>
      </c>
      <c r="E68" s="41">
        <v>56</v>
      </c>
      <c r="F68" s="41">
        <v>44</v>
      </c>
      <c r="G68" s="38">
        <f>AVERAGE(C68:F68)</f>
        <v>49.234377948476933</v>
      </c>
    </row>
    <row r="69" spans="1:8" x14ac:dyDescent="0.25">
      <c r="B69" s="35" t="s">
        <v>47</v>
      </c>
      <c r="C69" s="41">
        <v>114747</v>
      </c>
      <c r="D69" s="41">
        <v>88771</v>
      </c>
      <c r="E69" s="41">
        <v>57167</v>
      </c>
      <c r="F69" s="41">
        <v>247163</v>
      </c>
      <c r="G69" s="38">
        <f t="shared" si="0"/>
        <v>507848</v>
      </c>
    </row>
    <row r="70" spans="1:8" x14ac:dyDescent="0.25">
      <c r="B70" s="35" t="s">
        <v>48</v>
      </c>
      <c r="C70" s="41">
        <v>87978.856497000001</v>
      </c>
      <c r="D70" s="41">
        <v>77969.435012999995</v>
      </c>
      <c r="E70" s="41">
        <v>49720.069054</v>
      </c>
      <c r="F70" s="41">
        <v>173604</v>
      </c>
      <c r="G70" s="39">
        <f t="shared" si="0"/>
        <v>389272.36056399997</v>
      </c>
    </row>
    <row r="71" spans="1:8" x14ac:dyDescent="0.25">
      <c r="B71" s="99" t="s">
        <v>51</v>
      </c>
      <c r="C71" s="100"/>
      <c r="D71" s="100"/>
      <c r="E71" s="100"/>
      <c r="F71" s="100"/>
      <c r="G71" s="101"/>
    </row>
    <row r="72" spans="1:8" x14ac:dyDescent="0.25">
      <c r="B72" s="21" t="s">
        <v>111</v>
      </c>
      <c r="C72" s="22">
        <f>+C54+C66</f>
        <v>63592</v>
      </c>
      <c r="D72" s="22">
        <f>+D66+D60+D54</f>
        <v>2567</v>
      </c>
      <c r="E72" s="22">
        <f t="shared" ref="E72:E73" si="1">+E66+E60+E54</f>
        <v>3373</v>
      </c>
      <c r="F72" s="22">
        <f>+F54+F66</f>
        <v>8332</v>
      </c>
      <c r="G72" s="22">
        <f>SUM(C72:F72)</f>
        <v>77864</v>
      </c>
    </row>
    <row r="73" spans="1:8" x14ac:dyDescent="0.25">
      <c r="B73" s="21" t="s">
        <v>112</v>
      </c>
      <c r="C73" s="22">
        <f>+C55+C67</f>
        <v>66409.827682000003</v>
      </c>
      <c r="D73" s="22">
        <f t="shared" ref="D73:E76" si="2">+D67+D61+D55</f>
        <v>3706.5922479999999</v>
      </c>
      <c r="E73" s="22">
        <f t="shared" si="1"/>
        <v>6850.6978409999992</v>
      </c>
      <c r="F73" s="22">
        <f>+F55+F67</f>
        <v>13185</v>
      </c>
      <c r="G73" s="25">
        <f>SUM(C73:F73)</f>
        <v>90152.117771000005</v>
      </c>
    </row>
    <row r="74" spans="1:8" x14ac:dyDescent="0.25">
      <c r="B74" s="21" t="s">
        <v>46</v>
      </c>
      <c r="C74" s="22">
        <v>16</v>
      </c>
      <c r="D74" s="22">
        <f>(+D56+D62+D68)/3</f>
        <v>32.593357303202659</v>
      </c>
      <c r="E74" s="22">
        <v>49</v>
      </c>
      <c r="F74" s="22">
        <f>(F56+F68)/2</f>
        <v>38</v>
      </c>
      <c r="G74" s="22">
        <f>AVERAGE(C74:F74)</f>
        <v>33.898339325800663</v>
      </c>
    </row>
    <row r="75" spans="1:8" x14ac:dyDescent="0.25">
      <c r="B75" s="21" t="s">
        <v>47</v>
      </c>
      <c r="C75" s="22">
        <f>+C57+C69</f>
        <v>925054</v>
      </c>
      <c r="D75" s="22">
        <f t="shared" si="2"/>
        <v>245211</v>
      </c>
      <c r="E75" s="22">
        <f t="shared" si="2"/>
        <v>106133</v>
      </c>
      <c r="F75" s="22">
        <f>+F57+F69</f>
        <v>319976</v>
      </c>
      <c r="G75" s="22">
        <f>SUM(C75:F75)</f>
        <v>1596374</v>
      </c>
    </row>
    <row r="76" spans="1:8" x14ac:dyDescent="0.25">
      <c r="B76" s="21" t="s">
        <v>48</v>
      </c>
      <c r="C76" s="22">
        <f>+C58+C70</f>
        <v>1494551.3964730001</v>
      </c>
      <c r="D76" s="22">
        <f>+D70+D64+D58</f>
        <v>362091.31145599997</v>
      </c>
      <c r="E76" s="22">
        <f t="shared" si="2"/>
        <v>136409.12967900001</v>
      </c>
      <c r="F76" s="22">
        <f>+F58+F70</f>
        <v>305557</v>
      </c>
      <c r="G76" s="25">
        <f>SUM(C76:F76)</f>
        <v>2298608.8376080003</v>
      </c>
    </row>
    <row r="77" spans="1:8" x14ac:dyDescent="0.25">
      <c r="A77" s="4"/>
      <c r="B77" s="81"/>
      <c r="C77" s="81"/>
      <c r="D77" s="81"/>
      <c r="E77" s="81"/>
      <c r="F77" s="81"/>
      <c r="G77" s="81"/>
      <c r="H77" s="81"/>
    </row>
    <row r="78" spans="1:8" x14ac:dyDescent="0.25">
      <c r="B78" s="88" t="s">
        <v>52</v>
      </c>
      <c r="C78" s="89"/>
      <c r="D78" s="89"/>
      <c r="E78" s="89"/>
      <c r="F78" s="89"/>
      <c r="G78" s="90"/>
    </row>
    <row r="79" spans="1:8" x14ac:dyDescent="0.25">
      <c r="B79" s="102" t="s">
        <v>43</v>
      </c>
      <c r="C79" s="103"/>
      <c r="D79" s="103"/>
      <c r="E79" s="103"/>
      <c r="F79" s="103"/>
      <c r="G79" s="104"/>
    </row>
    <row r="80" spans="1:8" x14ac:dyDescent="0.25">
      <c r="B80" s="35" t="s">
        <v>44</v>
      </c>
      <c r="C80" s="29">
        <v>0</v>
      </c>
      <c r="D80" s="23">
        <v>0</v>
      </c>
      <c r="E80" s="35">
        <v>0</v>
      </c>
      <c r="F80" s="23">
        <v>0</v>
      </c>
      <c r="G80" s="23">
        <f>SUM(C80:F80)</f>
        <v>0</v>
      </c>
    </row>
    <row r="81" spans="2:7" x14ac:dyDescent="0.25">
      <c r="B81" s="35" t="s">
        <v>45</v>
      </c>
      <c r="C81" s="29">
        <v>0</v>
      </c>
      <c r="D81" s="23">
        <v>0</v>
      </c>
      <c r="E81" s="35">
        <v>0</v>
      </c>
      <c r="F81" s="29">
        <v>0</v>
      </c>
      <c r="G81" s="29">
        <f>SUM(C81:F81)</f>
        <v>0</v>
      </c>
    </row>
    <row r="82" spans="2:7" x14ac:dyDescent="0.25">
      <c r="B82" s="35" t="s">
        <v>46</v>
      </c>
      <c r="C82" s="29">
        <v>0</v>
      </c>
      <c r="D82" s="23">
        <v>0</v>
      </c>
      <c r="E82" s="35">
        <v>0</v>
      </c>
      <c r="F82" s="29">
        <v>0</v>
      </c>
      <c r="G82" s="29">
        <f>AVERAGE(C82:F82)</f>
        <v>0</v>
      </c>
    </row>
    <row r="83" spans="2:7" x14ac:dyDescent="0.25">
      <c r="B83" s="35" t="s">
        <v>47</v>
      </c>
      <c r="C83" s="40">
        <v>1087</v>
      </c>
      <c r="D83" s="40">
        <v>133</v>
      </c>
      <c r="E83" s="40">
        <v>6</v>
      </c>
      <c r="F83" s="29">
        <v>116</v>
      </c>
      <c r="G83" s="29">
        <f>SUM(C83:F83)</f>
        <v>1342</v>
      </c>
    </row>
    <row r="84" spans="2:7" x14ac:dyDescent="0.25">
      <c r="B84" s="35" t="s">
        <v>48</v>
      </c>
      <c r="C84" s="40">
        <v>21380.316583</v>
      </c>
      <c r="D84" s="40">
        <v>1545</v>
      </c>
      <c r="E84" s="40">
        <v>74</v>
      </c>
      <c r="F84" s="40">
        <v>1960.5952580000001</v>
      </c>
      <c r="G84" s="13">
        <f>SUM(C84:F84)</f>
        <v>24959.911841000001</v>
      </c>
    </row>
    <row r="85" spans="2:7" x14ac:dyDescent="0.25">
      <c r="B85" s="102" t="s">
        <v>49</v>
      </c>
      <c r="C85" s="103"/>
      <c r="D85" s="103"/>
      <c r="E85" s="103"/>
      <c r="F85" s="103"/>
      <c r="G85" s="104"/>
    </row>
    <row r="86" spans="2:7" x14ac:dyDescent="0.25">
      <c r="B86" s="35" t="s">
        <v>44</v>
      </c>
      <c r="C86" s="23">
        <v>0</v>
      </c>
      <c r="D86" s="35">
        <v>0</v>
      </c>
      <c r="E86" s="23">
        <v>0</v>
      </c>
      <c r="F86" s="29">
        <v>0</v>
      </c>
      <c r="G86" s="38">
        <f>SUM(C86:F86)</f>
        <v>0</v>
      </c>
    </row>
    <row r="87" spans="2:7" x14ac:dyDescent="0.25">
      <c r="B87" s="35" t="s">
        <v>45</v>
      </c>
      <c r="C87" s="23">
        <v>0</v>
      </c>
      <c r="D87" s="35">
        <v>0</v>
      </c>
      <c r="E87" s="23">
        <v>0</v>
      </c>
      <c r="F87" s="29">
        <v>0</v>
      </c>
      <c r="G87" s="38">
        <f>SUM(C87:F87)</f>
        <v>0</v>
      </c>
    </row>
    <row r="88" spans="2:7" x14ac:dyDescent="0.25">
      <c r="B88" s="35" t="s">
        <v>46</v>
      </c>
      <c r="C88" s="23">
        <v>0</v>
      </c>
      <c r="D88" s="35">
        <v>0</v>
      </c>
      <c r="E88" s="23">
        <v>0</v>
      </c>
      <c r="F88" s="29">
        <v>0</v>
      </c>
      <c r="G88" s="38">
        <f>AVERAGE(C88:F88)</f>
        <v>0</v>
      </c>
    </row>
    <row r="89" spans="2:7" x14ac:dyDescent="0.25">
      <c r="B89" s="35" t="s">
        <v>47</v>
      </c>
      <c r="C89" s="23">
        <v>0</v>
      </c>
      <c r="D89" s="35">
        <v>0</v>
      </c>
      <c r="E89" s="23">
        <v>0</v>
      </c>
      <c r="F89" s="29">
        <v>0</v>
      </c>
      <c r="G89" s="38">
        <f>SUM(C89:F89)</f>
        <v>0</v>
      </c>
    </row>
    <row r="90" spans="2:7" x14ac:dyDescent="0.25">
      <c r="B90" s="35" t="s">
        <v>48</v>
      </c>
      <c r="C90" s="23">
        <v>0</v>
      </c>
      <c r="D90" s="35">
        <v>0</v>
      </c>
      <c r="E90" s="23">
        <v>0</v>
      </c>
      <c r="F90" s="29">
        <v>0</v>
      </c>
      <c r="G90" s="38">
        <f>SUM(C90:F90)</f>
        <v>0</v>
      </c>
    </row>
    <row r="91" spans="2:7" x14ac:dyDescent="0.25">
      <c r="B91" s="102" t="s">
        <v>50</v>
      </c>
      <c r="C91" s="103"/>
      <c r="D91" s="103"/>
      <c r="E91" s="103"/>
      <c r="F91" s="103"/>
      <c r="G91" s="104"/>
    </row>
    <row r="92" spans="2:7" x14ac:dyDescent="0.25">
      <c r="B92" s="35" t="s">
        <v>44</v>
      </c>
      <c r="C92" s="40">
        <v>0</v>
      </c>
      <c r="D92" s="23">
        <v>0</v>
      </c>
      <c r="E92" s="23">
        <v>0</v>
      </c>
      <c r="F92" s="29">
        <v>0</v>
      </c>
      <c r="G92" s="38">
        <f>SUM(C92:F92)</f>
        <v>0</v>
      </c>
    </row>
    <row r="93" spans="2:7" x14ac:dyDescent="0.25">
      <c r="B93" s="35" t="s">
        <v>45</v>
      </c>
      <c r="C93" s="40">
        <v>0</v>
      </c>
      <c r="D93" s="23">
        <v>0</v>
      </c>
      <c r="E93" s="23">
        <v>0</v>
      </c>
      <c r="F93" s="29">
        <v>0</v>
      </c>
      <c r="G93" s="38">
        <f>SUM(C93:F93)</f>
        <v>0</v>
      </c>
    </row>
    <row r="94" spans="2:7" x14ac:dyDescent="0.25">
      <c r="B94" s="35" t="s">
        <v>46</v>
      </c>
      <c r="C94" s="41">
        <v>0</v>
      </c>
      <c r="D94" s="23">
        <v>0</v>
      </c>
      <c r="E94" s="23">
        <v>0</v>
      </c>
      <c r="F94" s="29">
        <v>0</v>
      </c>
      <c r="G94" s="38">
        <f>AVERAGE(C94:F94)</f>
        <v>0</v>
      </c>
    </row>
    <row r="95" spans="2:7" x14ac:dyDescent="0.25">
      <c r="B95" s="35" t="s">
        <v>47</v>
      </c>
      <c r="C95" s="29">
        <v>13</v>
      </c>
      <c r="D95" s="23">
        <v>0</v>
      </c>
      <c r="E95" s="66">
        <v>0</v>
      </c>
      <c r="F95" s="29">
        <v>7</v>
      </c>
      <c r="G95" s="38">
        <f>SUM(C95:F95)</f>
        <v>20</v>
      </c>
    </row>
    <row r="96" spans="2:7" x14ac:dyDescent="0.25">
      <c r="B96" s="35" t="s">
        <v>48</v>
      </c>
      <c r="C96" s="29">
        <v>187.00243499999999</v>
      </c>
      <c r="D96" s="23">
        <v>0</v>
      </c>
      <c r="E96" s="66">
        <v>0</v>
      </c>
      <c r="F96" s="29">
        <v>89.329851000000005</v>
      </c>
      <c r="G96" s="13">
        <f>SUM(C96:F96)</f>
        <v>276.33228600000001</v>
      </c>
    </row>
    <row r="97" spans="1:8" x14ac:dyDescent="0.25">
      <c r="B97" s="99" t="s">
        <v>53</v>
      </c>
      <c r="C97" s="100"/>
      <c r="D97" s="100"/>
      <c r="E97" s="100"/>
      <c r="F97" s="100"/>
      <c r="G97" s="101"/>
    </row>
    <row r="98" spans="1:8" x14ac:dyDescent="0.25">
      <c r="B98" s="21" t="s">
        <v>44</v>
      </c>
      <c r="C98" s="22">
        <v>0</v>
      </c>
      <c r="D98" s="21">
        <v>0</v>
      </c>
      <c r="E98" s="22">
        <v>0</v>
      </c>
      <c r="F98" s="24">
        <v>0</v>
      </c>
      <c r="G98" s="22">
        <f>SUM(C98:F98)</f>
        <v>0</v>
      </c>
    </row>
    <row r="99" spans="1:8" x14ac:dyDescent="0.25">
      <c r="B99" s="21" t="s">
        <v>45</v>
      </c>
      <c r="C99" s="22">
        <v>0</v>
      </c>
      <c r="D99" s="21">
        <v>0</v>
      </c>
      <c r="E99" s="22">
        <v>0</v>
      </c>
      <c r="F99" s="24">
        <v>0</v>
      </c>
      <c r="G99" s="25">
        <f>SUM(C99:F99)</f>
        <v>0</v>
      </c>
    </row>
    <row r="100" spans="1:8" x14ac:dyDescent="0.25">
      <c r="B100" s="21" t="s">
        <v>46</v>
      </c>
      <c r="C100" s="22">
        <v>0</v>
      </c>
      <c r="D100" s="21">
        <v>0</v>
      </c>
      <c r="E100" s="22">
        <v>0</v>
      </c>
      <c r="F100" s="24">
        <v>0</v>
      </c>
      <c r="G100" s="22">
        <f>AVERAGE(C100:F100)</f>
        <v>0</v>
      </c>
    </row>
    <row r="101" spans="1:8" x14ac:dyDescent="0.25">
      <c r="B101" s="21" t="s">
        <v>47</v>
      </c>
      <c r="C101" s="59">
        <f>+C95+C83</f>
        <v>1100</v>
      </c>
      <c r="D101" s="59">
        <f>+D95+D89+D83</f>
        <v>133</v>
      </c>
      <c r="E101" s="22">
        <f>+E83</f>
        <v>6</v>
      </c>
      <c r="F101" s="32">
        <v>0</v>
      </c>
      <c r="G101" s="22">
        <f>SUM(C101:F101)</f>
        <v>1239</v>
      </c>
    </row>
    <row r="102" spans="1:8" x14ac:dyDescent="0.25">
      <c r="B102" s="21" t="s">
        <v>48</v>
      </c>
      <c r="C102" s="59">
        <f>+C96+C84</f>
        <v>21567.319017999998</v>
      </c>
      <c r="D102" s="59">
        <f t="shared" ref="D102" si="3">+D96+D90+D84</f>
        <v>1545</v>
      </c>
      <c r="E102" s="22">
        <f>+E84</f>
        <v>74</v>
      </c>
      <c r="F102" s="25">
        <v>0</v>
      </c>
      <c r="G102" s="25">
        <f>SUM(C102:F102)</f>
        <v>23186.319017999998</v>
      </c>
    </row>
    <row r="103" spans="1:8" x14ac:dyDescent="0.25">
      <c r="A103" s="4"/>
      <c r="B103" s="81"/>
      <c r="C103" s="81"/>
      <c r="D103" s="81"/>
      <c r="E103" s="81"/>
      <c r="F103" s="81"/>
      <c r="G103" s="81"/>
      <c r="H103" s="81"/>
    </row>
    <row r="104" spans="1:8" x14ac:dyDescent="0.25">
      <c r="B104" s="95" t="s">
        <v>54</v>
      </c>
      <c r="C104" s="95"/>
      <c r="D104" s="95"/>
      <c r="E104" s="95"/>
      <c r="F104" s="95"/>
      <c r="G104" s="95"/>
    </row>
    <row r="105" spans="1:8" x14ac:dyDescent="0.25">
      <c r="B105" s="97" t="s">
        <v>55</v>
      </c>
      <c r="C105" s="97"/>
      <c r="D105" s="97"/>
      <c r="E105" s="97"/>
      <c r="F105" s="97"/>
      <c r="G105" s="97"/>
    </row>
    <row r="106" spans="1:8" x14ac:dyDescent="0.25">
      <c r="B106" s="35" t="s">
        <v>56</v>
      </c>
      <c r="C106" s="60">
        <v>1.2349867734865312</v>
      </c>
      <c r="D106" s="16">
        <v>2.5187962962962871</v>
      </c>
      <c r="E106" s="44">
        <v>2.25</v>
      </c>
      <c r="F106" s="44">
        <v>2.17</v>
      </c>
      <c r="G106" s="16">
        <f>AVERAGE(C106:F106)</f>
        <v>2.0434457674457045</v>
      </c>
    </row>
    <row r="107" spans="1:8" x14ac:dyDescent="0.25">
      <c r="B107" s="35" t="s">
        <v>57</v>
      </c>
      <c r="C107" s="60">
        <v>1.7997916666666274</v>
      </c>
      <c r="D107" s="16">
        <v>2.37457627118643</v>
      </c>
      <c r="E107" s="47">
        <v>1.99</v>
      </c>
      <c r="F107" s="44">
        <v>2.17</v>
      </c>
      <c r="G107" s="16">
        <f>AVERAGE(C107:F107)</f>
        <v>2.0835919844632644</v>
      </c>
    </row>
    <row r="108" spans="1:8" x14ac:dyDescent="0.25">
      <c r="B108" s="35" t="s">
        <v>58</v>
      </c>
      <c r="C108" s="60">
        <v>1.4597276184096875</v>
      </c>
      <c r="D108" s="16">
        <v>2.2646012269938538</v>
      </c>
      <c r="E108" s="44">
        <v>1.72</v>
      </c>
      <c r="F108" s="44">
        <v>2.17</v>
      </c>
      <c r="G108" s="16">
        <f>AVERAGE(C108:F108)</f>
        <v>1.9035822113508853</v>
      </c>
    </row>
    <row r="109" spans="1:8" x14ac:dyDescent="0.25">
      <c r="B109" s="97" t="s">
        <v>59</v>
      </c>
      <c r="C109" s="97"/>
      <c r="D109" s="97"/>
      <c r="E109" s="97"/>
      <c r="F109" s="97"/>
      <c r="G109" s="97"/>
    </row>
    <row r="110" spans="1:8" x14ac:dyDescent="0.25">
      <c r="B110" s="35" t="s">
        <v>56</v>
      </c>
      <c r="C110" s="16">
        <v>1.0940000000000001</v>
      </c>
      <c r="D110" s="16">
        <v>1.56</v>
      </c>
      <c r="E110" s="44">
        <v>1.45</v>
      </c>
      <c r="F110" s="44">
        <v>1.49</v>
      </c>
      <c r="G110" s="16">
        <f>AVERAGE(C110:F110)</f>
        <v>1.3985000000000001</v>
      </c>
    </row>
    <row r="111" spans="1:8" x14ac:dyDescent="0.25">
      <c r="B111" s="35" t="s">
        <v>57</v>
      </c>
      <c r="C111" s="16">
        <v>1.4500000000000013</v>
      </c>
      <c r="D111" s="16">
        <v>1.5781818181818181</v>
      </c>
      <c r="E111" s="44">
        <v>1.43</v>
      </c>
      <c r="F111" s="44">
        <v>1.49</v>
      </c>
      <c r="G111" s="16">
        <f>AVERAGE(C111:F111)</f>
        <v>1.4870454545454548</v>
      </c>
    </row>
    <row r="112" spans="1:8" x14ac:dyDescent="0.25">
      <c r="B112" s="35" t="s">
        <v>58</v>
      </c>
      <c r="C112" s="16">
        <v>0.99402756211179155</v>
      </c>
      <c r="D112" s="16">
        <v>1.5803973509933815</v>
      </c>
      <c r="E112" s="44">
        <v>1.0900000000000001</v>
      </c>
      <c r="F112" s="44">
        <v>1.49</v>
      </c>
      <c r="G112" s="16">
        <f>AVERAGE(C112:F112)</f>
        <v>1.2886062282762933</v>
      </c>
    </row>
    <row r="113" spans="1:9" x14ac:dyDescent="0.25">
      <c r="A113" s="4"/>
      <c r="B113" s="81"/>
      <c r="C113" s="81"/>
      <c r="D113" s="81"/>
      <c r="E113" s="81"/>
      <c r="F113" s="81"/>
      <c r="G113" s="81"/>
      <c r="H113" s="81"/>
      <c r="I113" s="81"/>
    </row>
    <row r="114" spans="1:9" x14ac:dyDescent="0.25">
      <c r="B114" s="97" t="s">
        <v>60</v>
      </c>
      <c r="C114" s="97"/>
      <c r="D114" s="97"/>
      <c r="E114" s="97"/>
      <c r="F114" s="97"/>
      <c r="G114" s="97"/>
    </row>
    <row r="115" spans="1:9" x14ac:dyDescent="0.25">
      <c r="B115" s="35" t="s">
        <v>56</v>
      </c>
      <c r="C115" s="16">
        <v>1.1807756813417134</v>
      </c>
      <c r="D115" s="16">
        <v>1.6477966101694934</v>
      </c>
      <c r="E115" s="47">
        <v>1.57</v>
      </c>
      <c r="F115" s="44">
        <v>1.44</v>
      </c>
      <c r="G115" s="16">
        <f>AVERAGE(C115:F115)</f>
        <v>1.4596430728778018</v>
      </c>
    </row>
    <row r="116" spans="1:9" x14ac:dyDescent="0.25">
      <c r="B116" s="35" t="s">
        <v>57</v>
      </c>
      <c r="C116" s="16">
        <v>1.3883903420523032</v>
      </c>
      <c r="D116" s="16">
        <v>1.6368518518518524</v>
      </c>
      <c r="E116" s="47">
        <v>1.57</v>
      </c>
      <c r="F116" s="44">
        <v>1.44</v>
      </c>
      <c r="G116" s="16">
        <f>AVERAGE(C116:F116)</f>
        <v>1.5088105484760388</v>
      </c>
    </row>
    <row r="117" spans="1:9" x14ac:dyDescent="0.25">
      <c r="B117" s="35" t="s">
        <v>58</v>
      </c>
      <c r="C117" s="16">
        <v>1.2854067584480784</v>
      </c>
      <c r="D117" s="16">
        <v>1.6318196588139635</v>
      </c>
      <c r="E117" s="47">
        <v>1.52</v>
      </c>
      <c r="F117" s="44">
        <v>1.45</v>
      </c>
      <c r="G117" s="16">
        <f>AVERAGE(C117:F117)</f>
        <v>1.4718066043155107</v>
      </c>
    </row>
    <row r="118" spans="1:9" x14ac:dyDescent="0.25">
      <c r="B118" s="102" t="s">
        <v>61</v>
      </c>
      <c r="C118" s="103"/>
      <c r="D118" s="103"/>
      <c r="E118" s="103"/>
      <c r="F118" s="103"/>
      <c r="G118" s="104"/>
    </row>
    <row r="119" spans="1:9" x14ac:dyDescent="0.25">
      <c r="B119" s="35" t="s">
        <v>56</v>
      </c>
      <c r="C119" s="16">
        <v>0</v>
      </c>
      <c r="D119" s="16">
        <v>1.1603448275862065</v>
      </c>
      <c r="E119" s="36">
        <v>0</v>
      </c>
      <c r="F119" s="80">
        <v>0.98</v>
      </c>
      <c r="G119" s="16">
        <f>AVERAGE(C119:F119)</f>
        <v>0.53508620689655162</v>
      </c>
    </row>
    <row r="120" spans="1:9" x14ac:dyDescent="0.25">
      <c r="B120" s="35" t="s">
        <v>57</v>
      </c>
      <c r="C120" s="16">
        <v>0.99</v>
      </c>
      <c r="D120" s="16">
        <v>1.1603448275862065</v>
      </c>
      <c r="E120" s="44">
        <v>0</v>
      </c>
      <c r="F120" s="80">
        <v>0.98</v>
      </c>
      <c r="G120" s="16">
        <f>AVERAGE(C120:F120)</f>
        <v>0.78258620689655156</v>
      </c>
    </row>
    <row r="121" spans="1:9" x14ac:dyDescent="0.25">
      <c r="B121" s="35" t="s">
        <v>58</v>
      </c>
      <c r="C121" s="16">
        <v>0.96</v>
      </c>
      <c r="D121" s="16">
        <v>1.1603448275862065</v>
      </c>
      <c r="E121" s="44">
        <v>1.0900000000000001</v>
      </c>
      <c r="F121" s="80">
        <v>0.98</v>
      </c>
      <c r="G121" s="16">
        <f>AVERAGE(C121:F121)</f>
        <v>1.0475862068965518</v>
      </c>
    </row>
    <row r="122" spans="1:9" x14ac:dyDescent="0.25">
      <c r="A122" s="4"/>
      <c r="B122" s="81"/>
      <c r="C122" s="81"/>
      <c r="D122" s="81"/>
      <c r="E122" s="81"/>
      <c r="F122" s="81"/>
      <c r="G122" s="81"/>
      <c r="H122" s="81"/>
    </row>
    <row r="123" spans="1:9" x14ac:dyDescent="0.25">
      <c r="B123" s="88" t="s">
        <v>62</v>
      </c>
      <c r="C123" s="89"/>
      <c r="D123" s="89"/>
      <c r="E123" s="89"/>
      <c r="F123" s="89"/>
      <c r="G123" s="90"/>
    </row>
    <row r="124" spans="1:9" x14ac:dyDescent="0.25">
      <c r="B124" s="2" t="s">
        <v>63</v>
      </c>
      <c r="C124" s="16">
        <v>0</v>
      </c>
      <c r="D124" s="31">
        <v>0</v>
      </c>
      <c r="E124" s="23">
        <v>0</v>
      </c>
      <c r="F124" s="23">
        <v>0</v>
      </c>
      <c r="G124" s="39">
        <f>AVERAGE(C124:F124)</f>
        <v>0</v>
      </c>
      <c r="H124" s="3"/>
    </row>
    <row r="125" spans="1:9" x14ac:dyDescent="0.25">
      <c r="B125" s="88" t="s">
        <v>64</v>
      </c>
      <c r="C125" s="89"/>
      <c r="D125" s="89"/>
      <c r="E125" s="89"/>
      <c r="F125" s="89"/>
      <c r="G125" s="90"/>
    </row>
    <row r="126" spans="1:9" x14ac:dyDescent="0.25">
      <c r="B126" s="5" t="s">
        <v>65</v>
      </c>
      <c r="C126" s="61">
        <v>1.57</v>
      </c>
      <c r="D126" s="61">
        <v>1.94100064830326</v>
      </c>
      <c r="E126" s="49">
        <v>1.932758</v>
      </c>
      <c r="F126" s="14">
        <v>0</v>
      </c>
      <c r="G126" s="39">
        <f>AVERAGE(C126:F126)</f>
        <v>1.360939662075815</v>
      </c>
    </row>
    <row r="127" spans="1:9" x14ac:dyDescent="0.25">
      <c r="A127" s="4"/>
      <c r="B127" s="105"/>
      <c r="C127" s="105"/>
      <c r="D127" s="105"/>
      <c r="E127" s="105"/>
      <c r="F127" s="105"/>
      <c r="G127" s="105"/>
      <c r="H127" s="105"/>
    </row>
    <row r="128" spans="1:9" x14ac:dyDescent="0.25">
      <c r="B128" s="95" t="s">
        <v>66</v>
      </c>
      <c r="C128" s="95"/>
      <c r="D128" s="95"/>
      <c r="E128" s="95"/>
      <c r="F128" s="95"/>
      <c r="G128" s="95"/>
    </row>
    <row r="129" spans="1:9" x14ac:dyDescent="0.25">
      <c r="B129" s="35" t="s">
        <v>67</v>
      </c>
      <c r="C129" s="40">
        <v>300268</v>
      </c>
      <c r="D129" s="40">
        <v>6450</v>
      </c>
      <c r="E129" s="40">
        <v>8618</v>
      </c>
      <c r="F129" s="40">
        <v>1076</v>
      </c>
      <c r="G129" s="38">
        <f>SUM(C129:F129)</f>
        <v>316412</v>
      </c>
    </row>
    <row r="130" spans="1:9" x14ac:dyDescent="0.25">
      <c r="B130" s="35" t="s">
        <v>68</v>
      </c>
      <c r="C130" s="40">
        <v>205760.21989199999</v>
      </c>
      <c r="D130" s="40">
        <v>4553.6040030000004</v>
      </c>
      <c r="E130" s="40">
        <v>1254</v>
      </c>
      <c r="F130" s="38">
        <v>1315.5182050000001</v>
      </c>
      <c r="G130" s="13">
        <f>SUM(C130:F130)</f>
        <v>212883.34209999998</v>
      </c>
    </row>
    <row r="131" spans="1:9" x14ac:dyDescent="0.25">
      <c r="A131" s="4"/>
      <c r="B131" s="81"/>
      <c r="C131" s="81"/>
      <c r="D131" s="81"/>
      <c r="E131" s="81"/>
      <c r="F131" s="81"/>
      <c r="G131" s="81"/>
      <c r="H131" s="81"/>
    </row>
    <row r="132" spans="1:9" x14ac:dyDescent="0.25">
      <c r="B132" s="95" t="s">
        <v>69</v>
      </c>
      <c r="C132" s="95"/>
      <c r="D132" s="95"/>
      <c r="E132" s="95"/>
      <c r="F132" s="95"/>
      <c r="G132" s="95"/>
    </row>
    <row r="133" spans="1:9" x14ac:dyDescent="0.25">
      <c r="B133" s="35" t="s">
        <v>70</v>
      </c>
      <c r="C133" s="40">
        <v>618550</v>
      </c>
      <c r="D133" s="40">
        <v>127395</v>
      </c>
      <c r="E133" s="40">
        <f>99087+24344</f>
        <v>123431</v>
      </c>
      <c r="F133" s="40">
        <v>308604</v>
      </c>
      <c r="G133" s="38">
        <f>SUM(C133:F133)</f>
        <v>1177980</v>
      </c>
    </row>
    <row r="134" spans="1:9" x14ac:dyDescent="0.25">
      <c r="A134" s="4"/>
      <c r="B134" s="81"/>
      <c r="C134" s="81"/>
      <c r="D134" s="81"/>
      <c r="E134" s="81"/>
      <c r="F134" s="81"/>
      <c r="G134" s="81"/>
      <c r="H134" s="81"/>
    </row>
    <row r="135" spans="1:9" ht="21" x14ac:dyDescent="0.35">
      <c r="B135" s="106" t="s">
        <v>71</v>
      </c>
      <c r="C135" s="106"/>
      <c r="D135" s="106"/>
      <c r="E135" s="106"/>
      <c r="F135" s="106"/>
      <c r="G135" s="106"/>
    </row>
    <row r="136" spans="1:9" x14ac:dyDescent="0.25">
      <c r="B136" s="95" t="s">
        <v>72</v>
      </c>
      <c r="C136" s="95"/>
      <c r="D136" s="95"/>
      <c r="E136" s="95"/>
      <c r="F136" s="95"/>
      <c r="G136" s="95"/>
    </row>
    <row r="137" spans="1:9" x14ac:dyDescent="0.25">
      <c r="B137" s="35" t="s">
        <v>73</v>
      </c>
      <c r="C137" s="38">
        <v>0</v>
      </c>
      <c r="D137" s="40">
        <v>6744</v>
      </c>
      <c r="E137" s="38">
        <v>0</v>
      </c>
      <c r="F137" s="38">
        <v>15864</v>
      </c>
      <c r="G137" s="40">
        <f>SUM(C137:F137)</f>
        <v>22608</v>
      </c>
      <c r="H137" s="9"/>
      <c r="I137" s="9"/>
    </row>
    <row r="138" spans="1:9" x14ac:dyDescent="0.25">
      <c r="B138" s="35" t="s">
        <v>74</v>
      </c>
      <c r="C138" s="38">
        <v>0</v>
      </c>
      <c r="D138" s="40">
        <v>4</v>
      </c>
      <c r="E138" s="38">
        <v>0</v>
      </c>
      <c r="F138" s="38">
        <v>172</v>
      </c>
      <c r="G138" s="40">
        <f>SUM(C138:F138)</f>
        <v>176</v>
      </c>
      <c r="H138" s="9"/>
      <c r="I138" s="9"/>
    </row>
    <row r="139" spans="1:9" x14ac:dyDescent="0.25">
      <c r="A139" s="4"/>
      <c r="B139" s="81"/>
      <c r="C139" s="81"/>
      <c r="D139" s="81"/>
      <c r="E139" s="81"/>
      <c r="F139" s="81"/>
      <c r="G139" s="81"/>
      <c r="H139" s="81"/>
      <c r="I139" s="9"/>
    </row>
    <row r="140" spans="1:9" x14ac:dyDescent="0.25">
      <c r="B140" s="88" t="s">
        <v>75</v>
      </c>
      <c r="C140" s="89"/>
      <c r="D140" s="89"/>
      <c r="E140" s="89"/>
      <c r="F140" s="89"/>
      <c r="G140" s="90"/>
      <c r="I140" s="9"/>
    </row>
    <row r="141" spans="1:9" x14ac:dyDescent="0.25">
      <c r="B141" s="35" t="s">
        <v>76</v>
      </c>
      <c r="C141" s="38">
        <v>0</v>
      </c>
      <c r="D141" s="40">
        <v>0</v>
      </c>
      <c r="E141" s="38">
        <v>0</v>
      </c>
      <c r="F141" s="23">
        <v>0</v>
      </c>
      <c r="G141" s="40">
        <f>SUM(C141:F141)</f>
        <v>0</v>
      </c>
      <c r="H141" s="9"/>
      <c r="I141" s="9"/>
    </row>
    <row r="142" spans="1:9" x14ac:dyDescent="0.25">
      <c r="A142" s="4"/>
      <c r="B142" s="81"/>
      <c r="C142" s="81"/>
      <c r="D142" s="81"/>
      <c r="E142" s="81"/>
      <c r="F142" s="81"/>
      <c r="G142" s="81"/>
      <c r="H142" s="81"/>
    </row>
    <row r="143" spans="1:9" ht="21" x14ac:dyDescent="0.35">
      <c r="B143" s="85" t="s">
        <v>77</v>
      </c>
      <c r="C143" s="86"/>
      <c r="D143" s="86"/>
      <c r="E143" s="86"/>
      <c r="F143" s="86"/>
      <c r="G143" s="87"/>
    </row>
    <row r="144" spans="1:9" x14ac:dyDescent="0.25">
      <c r="B144" s="88" t="s">
        <v>78</v>
      </c>
      <c r="C144" s="89"/>
      <c r="D144" s="89"/>
      <c r="E144" s="89"/>
      <c r="F144" s="89"/>
      <c r="G144" s="90"/>
    </row>
    <row r="145" spans="1:8" x14ac:dyDescent="0.25">
      <c r="A145" s="4"/>
      <c r="B145" s="107"/>
      <c r="C145" s="107"/>
      <c r="D145" s="107"/>
      <c r="E145" s="107"/>
      <c r="F145" s="107"/>
      <c r="G145" s="107"/>
      <c r="H145" s="107"/>
    </row>
    <row r="146" spans="1:8" x14ac:dyDescent="0.25">
      <c r="B146" s="98" t="s">
        <v>79</v>
      </c>
      <c r="C146" s="98"/>
      <c r="D146" s="98"/>
      <c r="E146" s="98"/>
      <c r="F146" s="98"/>
      <c r="G146" s="98"/>
    </row>
    <row r="147" spans="1:8" x14ac:dyDescent="0.25">
      <c r="B147" s="35" t="s">
        <v>80</v>
      </c>
      <c r="C147" s="40">
        <v>0</v>
      </c>
      <c r="D147" s="40">
        <v>3635</v>
      </c>
      <c r="E147" s="57">
        <v>0</v>
      </c>
      <c r="F147" s="40">
        <v>1365</v>
      </c>
      <c r="G147" s="38">
        <f>SUM(C147:F147)</f>
        <v>5000</v>
      </c>
    </row>
    <row r="148" spans="1:8" x14ac:dyDescent="0.25">
      <c r="B148" s="35" t="s">
        <v>81</v>
      </c>
      <c r="C148" s="40">
        <v>0</v>
      </c>
      <c r="D148" s="40">
        <v>71.283000000000001</v>
      </c>
      <c r="E148" s="57">
        <v>0</v>
      </c>
      <c r="F148" s="40">
        <v>16.433</v>
      </c>
      <c r="G148" s="13">
        <f>SUM(C148:F148)</f>
        <v>87.716000000000008</v>
      </c>
    </row>
    <row r="149" spans="1:8" x14ac:dyDescent="0.25">
      <c r="A149" s="4"/>
      <c r="B149" s="81"/>
      <c r="C149" s="81"/>
      <c r="D149" s="81"/>
      <c r="E149" s="81"/>
      <c r="F149" s="81"/>
      <c r="G149" s="81"/>
      <c r="H149" s="81"/>
    </row>
    <row r="150" spans="1:8" x14ac:dyDescent="0.25">
      <c r="B150" s="98" t="s">
        <v>82</v>
      </c>
      <c r="C150" s="98"/>
      <c r="D150" s="98"/>
      <c r="E150" s="98"/>
      <c r="F150" s="98"/>
      <c r="G150" s="98"/>
    </row>
    <row r="151" spans="1:8" x14ac:dyDescent="0.25">
      <c r="B151" s="35" t="s">
        <v>83</v>
      </c>
      <c r="C151" s="35">
        <v>0</v>
      </c>
      <c r="D151" s="15">
        <v>1</v>
      </c>
      <c r="E151" s="15">
        <v>3</v>
      </c>
      <c r="F151" s="33">
        <v>0</v>
      </c>
      <c r="G151" s="38">
        <f>SUM(C151:F151)</f>
        <v>4</v>
      </c>
      <c r="H151" s="26"/>
    </row>
    <row r="152" spans="1:8" x14ac:dyDescent="0.25">
      <c r="B152" s="35" t="s">
        <v>84</v>
      </c>
      <c r="C152" s="34">
        <v>0</v>
      </c>
      <c r="D152" s="15">
        <v>0.02</v>
      </c>
      <c r="E152" s="15">
        <f>46000/1000000</f>
        <v>4.5999999999999999E-2</v>
      </c>
      <c r="F152" s="33">
        <v>0</v>
      </c>
      <c r="G152" s="13">
        <f>SUM(C152:F152)</f>
        <v>6.6000000000000003E-2</v>
      </c>
      <c r="H152" s="26"/>
    </row>
    <row r="153" spans="1:8" x14ac:dyDescent="0.25">
      <c r="A153" s="4"/>
      <c r="B153" s="81"/>
      <c r="C153" s="81"/>
      <c r="D153" s="81"/>
      <c r="E153" s="81"/>
      <c r="F153" s="81"/>
      <c r="G153" s="81"/>
      <c r="H153" s="81"/>
    </row>
    <row r="154" spans="1:8" x14ac:dyDescent="0.25">
      <c r="B154" s="98" t="s">
        <v>85</v>
      </c>
      <c r="C154" s="98"/>
      <c r="D154" s="98"/>
      <c r="E154" s="98"/>
      <c r="F154" s="98"/>
      <c r="G154" s="98"/>
    </row>
    <row r="155" spans="1:8" x14ac:dyDescent="0.25">
      <c r="B155" s="35" t="s">
        <v>86</v>
      </c>
      <c r="C155" s="35">
        <v>0</v>
      </c>
      <c r="D155" s="40">
        <v>58</v>
      </c>
      <c r="E155" s="57">
        <v>0</v>
      </c>
      <c r="F155" s="50">
        <v>0</v>
      </c>
      <c r="G155" s="38">
        <f>SUM(C155:F155)</f>
        <v>58</v>
      </c>
      <c r="H155" s="26"/>
    </row>
    <row r="156" spans="1:8" x14ac:dyDescent="0.25">
      <c r="B156" s="35" t="s">
        <v>87</v>
      </c>
      <c r="C156" s="38">
        <v>0</v>
      </c>
      <c r="D156" s="40">
        <v>0.75</v>
      </c>
      <c r="E156" s="57">
        <v>0</v>
      </c>
      <c r="F156" s="50">
        <v>0</v>
      </c>
      <c r="G156" s="13">
        <f>SUM(C156:F156)</f>
        <v>0.75</v>
      </c>
      <c r="H156" s="26"/>
    </row>
    <row r="157" spans="1:8" x14ac:dyDescent="0.25">
      <c r="A157" s="4"/>
      <c r="B157" s="81"/>
      <c r="C157" s="81"/>
      <c r="D157" s="81"/>
      <c r="E157" s="81"/>
      <c r="F157" s="81"/>
      <c r="G157" s="81"/>
      <c r="H157" s="81"/>
    </row>
    <row r="158" spans="1:8" x14ac:dyDescent="0.25">
      <c r="B158" s="98" t="s">
        <v>88</v>
      </c>
      <c r="C158" s="98"/>
      <c r="D158" s="98"/>
      <c r="E158" s="98"/>
      <c r="F158" s="98"/>
      <c r="G158" s="98"/>
    </row>
    <row r="159" spans="1:8" x14ac:dyDescent="0.25">
      <c r="B159" s="21" t="s">
        <v>89</v>
      </c>
      <c r="C159" s="22">
        <v>0</v>
      </c>
      <c r="D159" s="22">
        <v>3694</v>
      </c>
      <c r="E159" s="22">
        <f>+E155+E151+E147</f>
        <v>3</v>
      </c>
      <c r="F159" s="22">
        <f>+F147+F155</f>
        <v>1365</v>
      </c>
      <c r="G159" s="22">
        <f>SUM(C159:F159)</f>
        <v>5062</v>
      </c>
    </row>
    <row r="160" spans="1:8" x14ac:dyDescent="0.25">
      <c r="B160" s="21" t="s">
        <v>90</v>
      </c>
      <c r="C160" s="22">
        <v>0</v>
      </c>
      <c r="D160" s="22">
        <v>72.052999999999997</v>
      </c>
      <c r="E160" s="22">
        <f>+E156+E152+E148</f>
        <v>4.5999999999999999E-2</v>
      </c>
      <c r="F160" s="22">
        <f>+F148+F156</f>
        <v>16.433</v>
      </c>
      <c r="G160" s="25">
        <f>SUM(C160:F160)</f>
        <v>88.532000000000011</v>
      </c>
    </row>
    <row r="161" spans="1:8" x14ac:dyDescent="0.25">
      <c r="A161" s="4"/>
      <c r="B161" s="81"/>
      <c r="C161" s="81"/>
      <c r="D161" s="81"/>
      <c r="E161" s="81"/>
      <c r="F161" s="81"/>
      <c r="G161" s="81"/>
      <c r="H161" s="81"/>
    </row>
    <row r="162" spans="1:8" x14ac:dyDescent="0.25">
      <c r="B162" s="95" t="s">
        <v>91</v>
      </c>
      <c r="C162" s="95"/>
      <c r="D162" s="95"/>
      <c r="E162" s="95"/>
      <c r="F162" s="95"/>
      <c r="G162" s="95"/>
    </row>
    <row r="163" spans="1:8" x14ac:dyDescent="0.25">
      <c r="B163" s="17" t="s">
        <v>86</v>
      </c>
      <c r="C163" s="40">
        <v>1975</v>
      </c>
      <c r="D163" s="40">
        <v>52290</v>
      </c>
      <c r="E163" s="40">
        <v>2914</v>
      </c>
      <c r="F163" s="40">
        <v>14727</v>
      </c>
      <c r="G163" s="38">
        <f>SUM(C163:F163)</f>
        <v>71906</v>
      </c>
    </row>
    <row r="164" spans="1:8" x14ac:dyDescent="0.25">
      <c r="B164" s="17" t="s">
        <v>87</v>
      </c>
      <c r="C164" s="40">
        <f>53346814/1000000</f>
        <v>53.346814000000002</v>
      </c>
      <c r="D164" s="40">
        <v>194.580591</v>
      </c>
      <c r="E164" s="40">
        <f>43774268/1000000</f>
        <v>43.774267999999999</v>
      </c>
      <c r="F164" s="40">
        <v>89.785325999999998</v>
      </c>
      <c r="G164" s="13">
        <f>SUM(C164:F164)</f>
        <v>381.48699899999997</v>
      </c>
    </row>
    <row r="165" spans="1:8" x14ac:dyDescent="0.25">
      <c r="A165" s="4"/>
      <c r="B165" s="81"/>
      <c r="C165" s="81"/>
      <c r="D165" s="81"/>
      <c r="E165" s="81"/>
      <c r="F165" s="81"/>
      <c r="G165" s="81"/>
    </row>
    <row r="166" spans="1:8" x14ac:dyDescent="0.25">
      <c r="B166" s="88" t="s">
        <v>92</v>
      </c>
      <c r="C166" s="89"/>
      <c r="D166" s="89"/>
      <c r="E166" s="89"/>
      <c r="F166" s="89"/>
      <c r="G166" s="90"/>
    </row>
    <row r="167" spans="1:8" x14ac:dyDescent="0.25">
      <c r="B167" s="91" t="s">
        <v>93</v>
      </c>
      <c r="C167" s="92"/>
      <c r="D167" s="92"/>
      <c r="E167" s="92"/>
      <c r="F167" s="92"/>
      <c r="G167" s="93"/>
    </row>
    <row r="168" spans="1:8" x14ac:dyDescent="0.25">
      <c r="B168" s="35" t="s">
        <v>94</v>
      </c>
      <c r="C168" s="54">
        <v>224</v>
      </c>
      <c r="D168" s="54">
        <v>1968</v>
      </c>
      <c r="E168" s="54">
        <v>44</v>
      </c>
      <c r="F168" s="54">
        <v>509</v>
      </c>
      <c r="G168" s="38">
        <f>SUM(C168:F168)</f>
        <v>2745</v>
      </c>
    </row>
    <row r="169" spans="1:8" x14ac:dyDescent="0.25">
      <c r="B169" s="35" t="s">
        <v>95</v>
      </c>
      <c r="C169" s="54">
        <f>5600000/1000000</f>
        <v>5.6</v>
      </c>
      <c r="D169" s="54">
        <v>30.05</v>
      </c>
      <c r="E169" s="54">
        <f>1100000/1000000</f>
        <v>1.1000000000000001</v>
      </c>
      <c r="F169" s="54">
        <v>19.36</v>
      </c>
      <c r="G169" s="13">
        <f>SUM(C169:F169)</f>
        <v>56.11</v>
      </c>
    </row>
    <row r="170" spans="1:8" x14ac:dyDescent="0.25">
      <c r="A170" s="4"/>
      <c r="B170" s="81"/>
      <c r="C170" s="81"/>
      <c r="D170" s="81"/>
      <c r="E170" s="81"/>
      <c r="F170" s="81"/>
      <c r="G170" s="81"/>
    </row>
    <row r="171" spans="1:8" x14ac:dyDescent="0.25">
      <c r="B171" s="91" t="s">
        <v>96</v>
      </c>
      <c r="C171" s="92"/>
      <c r="D171" s="92"/>
      <c r="E171" s="92"/>
      <c r="F171" s="92"/>
      <c r="G171" s="93"/>
    </row>
    <row r="172" spans="1:8" x14ac:dyDescent="0.25">
      <c r="B172" s="35" t="s">
        <v>97</v>
      </c>
      <c r="C172" s="54">
        <v>1104</v>
      </c>
      <c r="D172" s="54">
        <v>410</v>
      </c>
      <c r="E172" s="54">
        <v>104</v>
      </c>
      <c r="F172" s="54">
        <v>252</v>
      </c>
      <c r="G172" s="38">
        <f>SUM(C172:F172)</f>
        <v>1870</v>
      </c>
    </row>
    <row r="173" spans="1:8" x14ac:dyDescent="0.25">
      <c r="B173" s="35" t="s">
        <v>95</v>
      </c>
      <c r="C173" s="54">
        <f>24288000/1000000</f>
        <v>24.288</v>
      </c>
      <c r="D173" s="54">
        <v>8.5890000000000004</v>
      </c>
      <c r="E173" s="54">
        <f>2600000/1000000</f>
        <v>2.6</v>
      </c>
      <c r="F173" s="54">
        <v>5.5579999999999998</v>
      </c>
      <c r="G173" s="13">
        <f>SUM(C173:F173)</f>
        <v>41.035000000000004</v>
      </c>
    </row>
    <row r="174" spans="1:8" x14ac:dyDescent="0.25">
      <c r="A174" s="4"/>
      <c r="B174" s="81"/>
      <c r="C174" s="81"/>
      <c r="D174" s="81"/>
      <c r="E174" s="81"/>
      <c r="F174" s="81"/>
      <c r="G174" s="81"/>
      <c r="H174" s="81"/>
    </row>
    <row r="175" spans="1:8" x14ac:dyDescent="0.25">
      <c r="B175" s="91" t="s">
        <v>98</v>
      </c>
      <c r="C175" s="92"/>
      <c r="D175" s="92"/>
      <c r="E175" s="92"/>
      <c r="F175" s="92"/>
      <c r="G175" s="93"/>
    </row>
    <row r="176" spans="1:8" x14ac:dyDescent="0.25">
      <c r="B176" s="35" t="s">
        <v>97</v>
      </c>
      <c r="C176" s="40">
        <v>267</v>
      </c>
      <c r="D176" s="40">
        <v>303</v>
      </c>
      <c r="E176" s="40">
        <v>191</v>
      </c>
      <c r="F176" s="40">
        <v>37</v>
      </c>
      <c r="G176" s="38">
        <f>SUM(C176:F176)</f>
        <v>798</v>
      </c>
    </row>
    <row r="177" spans="1:8" x14ac:dyDescent="0.25">
      <c r="B177" s="35" t="s">
        <v>95</v>
      </c>
      <c r="C177" s="40">
        <f>18690000/1000000</f>
        <v>18.690000000000001</v>
      </c>
      <c r="D177" s="40">
        <v>31.57</v>
      </c>
      <c r="E177" s="40">
        <f>10679326/1000000</f>
        <v>10.679326</v>
      </c>
      <c r="F177" s="40">
        <v>3.77</v>
      </c>
      <c r="G177" s="13">
        <f>SUM(C177:F177)</f>
        <v>64.709326000000004</v>
      </c>
    </row>
    <row r="178" spans="1:8" x14ac:dyDescent="0.25">
      <c r="A178" s="4"/>
      <c r="B178" s="81"/>
      <c r="C178" s="81"/>
      <c r="D178" s="81"/>
      <c r="E178" s="81"/>
      <c r="F178" s="81"/>
      <c r="G178" s="81"/>
      <c r="H178" s="81"/>
    </row>
    <row r="179" spans="1:8" x14ac:dyDescent="0.25">
      <c r="B179" s="91" t="s">
        <v>99</v>
      </c>
      <c r="C179" s="92"/>
      <c r="D179" s="92"/>
      <c r="E179" s="92"/>
      <c r="F179" s="92"/>
      <c r="G179" s="93"/>
    </row>
    <row r="180" spans="1:8" x14ac:dyDescent="0.25">
      <c r="B180" s="35" t="s">
        <v>97</v>
      </c>
      <c r="C180" s="40">
        <v>295</v>
      </c>
      <c r="D180" s="40">
        <v>80375</v>
      </c>
      <c r="E180" s="40">
        <v>0</v>
      </c>
      <c r="F180" s="40">
        <v>0</v>
      </c>
      <c r="G180" s="38">
        <f>SUM(C180:F180)</f>
        <v>80670</v>
      </c>
    </row>
    <row r="181" spans="1:8" x14ac:dyDescent="0.25">
      <c r="B181" s="35" t="s">
        <v>95</v>
      </c>
      <c r="C181" s="40">
        <f>9170000/1000000</f>
        <v>9.17</v>
      </c>
      <c r="D181" s="40">
        <v>2747.4791053853774</v>
      </c>
      <c r="E181" s="40">
        <v>0</v>
      </c>
      <c r="F181" s="40">
        <v>0</v>
      </c>
      <c r="G181" s="13">
        <f>SUM(C181:F181)</f>
        <v>2756.6491053853774</v>
      </c>
    </row>
    <row r="182" spans="1:8" x14ac:dyDescent="0.25">
      <c r="A182" s="4"/>
      <c r="B182" s="81"/>
      <c r="C182" s="81"/>
      <c r="D182" s="81"/>
      <c r="E182" s="81"/>
      <c r="F182" s="81"/>
      <c r="G182" s="81"/>
      <c r="H182" s="81"/>
    </row>
    <row r="183" spans="1:8" x14ac:dyDescent="0.25">
      <c r="B183" s="95" t="s">
        <v>100</v>
      </c>
      <c r="C183" s="95"/>
      <c r="D183" s="95"/>
      <c r="E183" s="95"/>
      <c r="F183" s="95"/>
      <c r="G183" s="95"/>
    </row>
    <row r="184" spans="1:8" x14ac:dyDescent="0.25">
      <c r="B184" s="21" t="s">
        <v>101</v>
      </c>
      <c r="C184" s="22">
        <f>+C180+C176+C172+C168</f>
        <v>1890</v>
      </c>
      <c r="D184" s="22">
        <f>D168+D172+D176+D180</f>
        <v>83056</v>
      </c>
      <c r="E184" s="22">
        <f t="shared" ref="E184:E185" si="4">+E180+E176+E172+E168</f>
        <v>339</v>
      </c>
      <c r="F184" s="22">
        <f>+F168+F172+F176+F180</f>
        <v>798</v>
      </c>
      <c r="G184" s="22">
        <f>SUM(C184:F184)</f>
        <v>86083</v>
      </c>
    </row>
    <row r="185" spans="1:8" x14ac:dyDescent="0.25">
      <c r="B185" s="21" t="s">
        <v>102</v>
      </c>
      <c r="C185" s="22">
        <f>+C181+C177+C173+C169</f>
        <v>57.747999999999998</v>
      </c>
      <c r="D185" s="22">
        <f>D169+D173+D177+D181</f>
        <v>2817.6881053853772</v>
      </c>
      <c r="E185" s="22">
        <f t="shared" si="4"/>
        <v>14.379325999999999</v>
      </c>
      <c r="F185" s="22">
        <f>+F169+F173+F177+F181</f>
        <v>28.687999999999999</v>
      </c>
      <c r="G185" s="25">
        <f>SUM(C185:F185)</f>
        <v>2918.5034313853776</v>
      </c>
    </row>
    <row r="186" spans="1:8" x14ac:dyDescent="0.25">
      <c r="A186" s="4"/>
      <c r="B186" s="81"/>
      <c r="C186" s="81"/>
      <c r="D186" s="81"/>
      <c r="E186" s="81"/>
      <c r="F186" s="81"/>
      <c r="G186" s="81"/>
      <c r="H186" s="81"/>
    </row>
    <row r="187" spans="1:8" x14ac:dyDescent="0.25">
      <c r="B187" s="95" t="s">
        <v>103</v>
      </c>
      <c r="C187" s="95"/>
      <c r="D187" s="95"/>
      <c r="E187" s="95"/>
      <c r="F187" s="95"/>
      <c r="G187" s="95"/>
    </row>
    <row r="188" spans="1:8" x14ac:dyDescent="0.25">
      <c r="B188" s="17" t="s">
        <v>104</v>
      </c>
      <c r="C188" s="40">
        <v>603</v>
      </c>
      <c r="D188" s="40">
        <v>4154</v>
      </c>
      <c r="E188" s="40">
        <v>53</v>
      </c>
      <c r="F188" s="40">
        <v>16890</v>
      </c>
      <c r="G188" s="38">
        <f>SUM(C188:F188)</f>
        <v>21700</v>
      </c>
    </row>
    <row r="189" spans="1:8" x14ac:dyDescent="0.25">
      <c r="B189" s="17" t="s">
        <v>105</v>
      </c>
      <c r="C189" s="40">
        <f>6620328/1000000</f>
        <v>6.6203279999999998</v>
      </c>
      <c r="D189" s="40">
        <v>57.893720000000002</v>
      </c>
      <c r="E189" s="40">
        <f>2150000/1000000</f>
        <v>2.15</v>
      </c>
      <c r="F189" s="40">
        <v>135.02632600000001</v>
      </c>
      <c r="G189" s="13">
        <f>SUM(C189:F189)</f>
        <v>201.69037400000002</v>
      </c>
    </row>
    <row r="190" spans="1:8" x14ac:dyDescent="0.25">
      <c r="A190" s="4"/>
      <c r="B190" s="81"/>
      <c r="C190" s="81"/>
      <c r="D190" s="81"/>
      <c r="E190" s="81"/>
      <c r="F190" s="81"/>
      <c r="G190" s="81"/>
      <c r="H190" s="81"/>
    </row>
    <row r="191" spans="1:8" x14ac:dyDescent="0.25">
      <c r="B191" s="95" t="s">
        <v>106</v>
      </c>
      <c r="C191" s="95"/>
      <c r="D191" s="95"/>
      <c r="E191" s="95"/>
      <c r="F191" s="95"/>
      <c r="G191" s="95"/>
    </row>
    <row r="192" spans="1:8" x14ac:dyDescent="0.25">
      <c r="B192" s="21" t="s">
        <v>107</v>
      </c>
      <c r="C192" s="22">
        <v>4468</v>
      </c>
      <c r="D192" s="22">
        <v>143194</v>
      </c>
      <c r="E192" s="22">
        <f t="shared" ref="E192:E193" si="5">+E188+E184+E163+E159</f>
        <v>3309</v>
      </c>
      <c r="F192" s="22">
        <f>F159+F163+F184+F188</f>
        <v>33780</v>
      </c>
      <c r="G192" s="22">
        <f>SUM(C192:F192)</f>
        <v>184751</v>
      </c>
    </row>
    <row r="193" spans="2:7" x14ac:dyDescent="0.25">
      <c r="B193" s="21" t="s">
        <v>108</v>
      </c>
      <c r="C193" s="22">
        <f>117715142/1000000</f>
        <v>117.715142</v>
      </c>
      <c r="D193" s="22">
        <v>3142.215416385377</v>
      </c>
      <c r="E193" s="22">
        <f t="shared" si="5"/>
        <v>60.349593999999996</v>
      </c>
      <c r="F193" s="22">
        <f>F160+F185+F164+F189</f>
        <v>269.93265199999996</v>
      </c>
      <c r="G193" s="25">
        <f>SUM(C193:F193)</f>
        <v>3590.2128043853768</v>
      </c>
    </row>
    <row r="194" spans="2:7" s="1" customFormat="1" x14ac:dyDescent="0.25">
      <c r="G194" s="9"/>
    </row>
    <row r="195" spans="2:7" s="1" customFormat="1" x14ac:dyDescent="0.25">
      <c r="C195" s="9"/>
      <c r="G195" s="9"/>
    </row>
    <row r="196" spans="2:7" s="1" customFormat="1" x14ac:dyDescent="0.25">
      <c r="G196" s="9"/>
    </row>
    <row r="197" spans="2:7" s="1" customFormat="1" x14ac:dyDescent="0.25">
      <c r="B197" s="1" t="s">
        <v>109</v>
      </c>
      <c r="C197" s="10"/>
      <c r="G197" s="9"/>
    </row>
    <row r="198" spans="2:7" x14ac:dyDescent="0.25">
      <c r="B198" t="s">
        <v>113</v>
      </c>
    </row>
  </sheetData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74:H174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50:G150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32:G132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04:G104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52:G52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31:H31"/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Ene-21</vt:lpstr>
      <vt:lpstr>Feb-21</vt:lpstr>
      <vt:lpstr>Mar-21</vt:lpstr>
      <vt:lpstr>Abr-21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Manuel Quezada Carcamo</cp:lastModifiedBy>
  <cp:revision/>
  <dcterms:created xsi:type="dcterms:W3CDTF">2020-04-29T19:55:58Z</dcterms:created>
  <dcterms:modified xsi:type="dcterms:W3CDTF">2021-06-14T16:51:32Z</dcterms:modified>
  <cp:category/>
  <cp:contentStatus/>
</cp:coreProperties>
</file>