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1BCD1BD5-E79A-4614-9155-1A736BED76F1}" xr6:coauthVersionLast="46" xr6:coauthVersionMax="46" xr10:uidLastSave="{00000000-0000-0000-0000-000000000000}"/>
  <bookViews>
    <workbookView xWindow="-120" yWindow="-120" windowWidth="19800" windowHeight="11760" tabRatio="781" activeTab="11" xr2:uid="{00000000-000D-0000-FFFF-FFFF00000000}"/>
  </bookViews>
  <sheets>
    <sheet name="Ene-20" sheetId="68" r:id="rId1"/>
    <sheet name="Feb-20 " sheetId="69" r:id="rId2"/>
    <sheet name="Mar-20  " sheetId="70" r:id="rId3"/>
    <sheet name="Abr-20" sheetId="71" r:id="rId4"/>
    <sheet name="May-20 " sheetId="72" r:id="rId5"/>
    <sheet name="Jun-20" sheetId="73" r:id="rId6"/>
    <sheet name="Jul-20" sheetId="74" r:id="rId7"/>
    <sheet name="Ago-20" sheetId="75" r:id="rId8"/>
    <sheet name="Sep-20" sheetId="76" r:id="rId9"/>
    <sheet name="Oct-20" sheetId="77" r:id="rId10"/>
    <sheet name="Nov-20" sheetId="78" r:id="rId11"/>
    <sheet name="Dic-20" sheetId="79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1" i="75" l="1"/>
  <c r="E181" i="75"/>
  <c r="F180" i="75"/>
  <c r="E180" i="75"/>
  <c r="E181" i="76"/>
  <c r="E180" i="76"/>
  <c r="F181" i="76"/>
  <c r="F180" i="76"/>
  <c r="E180" i="77"/>
  <c r="F181" i="77"/>
  <c r="E181" i="77"/>
  <c r="F180" i="77"/>
  <c r="F181" i="78"/>
  <c r="E181" i="78"/>
  <c r="F180" i="78"/>
  <c r="E180" i="78"/>
  <c r="F181" i="79"/>
  <c r="E181" i="79"/>
  <c r="F180" i="79"/>
  <c r="E180" i="79"/>
  <c r="F35" i="79"/>
  <c r="F16" i="79"/>
  <c r="F8" i="79"/>
  <c r="C193" i="79"/>
  <c r="C189" i="79"/>
  <c r="C181" i="79"/>
  <c r="C177" i="79"/>
  <c r="C173" i="79"/>
  <c r="C169" i="79"/>
  <c r="C164" i="79"/>
  <c r="C160" i="79"/>
  <c r="C159" i="79"/>
  <c r="C148" i="79"/>
  <c r="C76" i="79"/>
  <c r="C75" i="79"/>
  <c r="C48" i="79"/>
  <c r="C44" i="79"/>
  <c r="C40" i="79"/>
  <c r="C35" i="79"/>
  <c r="C14" i="79"/>
  <c r="C16" i="79" s="1"/>
  <c r="C8" i="79"/>
  <c r="D76" i="79"/>
  <c r="D75" i="79"/>
  <c r="D74" i="79"/>
  <c r="D73" i="79"/>
  <c r="D72" i="79"/>
  <c r="D35" i="79"/>
  <c r="D16" i="79"/>
  <c r="D8" i="79"/>
  <c r="E189" i="79" l="1"/>
  <c r="E177" i="79"/>
  <c r="G177" i="79" s="1"/>
  <c r="E173" i="79"/>
  <c r="E169" i="79"/>
  <c r="E164" i="79"/>
  <c r="E159" i="79"/>
  <c r="E160" i="79"/>
  <c r="E152" i="79"/>
  <c r="E133" i="79"/>
  <c r="E35" i="79"/>
  <c r="E14" i="79"/>
  <c r="E16" i="79" s="1"/>
  <c r="E21" i="79" s="1"/>
  <c r="E27" i="79" s="1"/>
  <c r="E8" i="79"/>
  <c r="F189" i="79"/>
  <c r="F188" i="79"/>
  <c r="G188" i="79" s="1"/>
  <c r="D185" i="79"/>
  <c r="D184" i="79"/>
  <c r="C184" i="79"/>
  <c r="G176" i="79"/>
  <c r="G173" i="79"/>
  <c r="G172" i="79"/>
  <c r="G169" i="79"/>
  <c r="G168" i="79"/>
  <c r="G164" i="79"/>
  <c r="G163" i="79"/>
  <c r="F160" i="79"/>
  <c r="F185" i="79" s="1"/>
  <c r="D160" i="79"/>
  <c r="F159" i="79"/>
  <c r="F184" i="79" s="1"/>
  <c r="D159" i="79"/>
  <c r="G156" i="79"/>
  <c r="G155" i="79"/>
  <c r="G151" i="79"/>
  <c r="G148" i="79"/>
  <c r="G147" i="79"/>
  <c r="G141" i="79"/>
  <c r="G138" i="79"/>
  <c r="G137" i="79"/>
  <c r="G133" i="79"/>
  <c r="G130" i="79"/>
  <c r="G129" i="79"/>
  <c r="G126" i="79"/>
  <c r="G124" i="79"/>
  <c r="G121" i="79"/>
  <c r="G120" i="79"/>
  <c r="G119" i="79"/>
  <c r="G117" i="79"/>
  <c r="G116" i="79"/>
  <c r="G115" i="79"/>
  <c r="G112" i="79"/>
  <c r="G111" i="79"/>
  <c r="G110" i="79"/>
  <c r="G108" i="79"/>
  <c r="G107" i="79"/>
  <c r="G106" i="79"/>
  <c r="D102" i="79"/>
  <c r="G102" i="79" s="1"/>
  <c r="D101" i="79"/>
  <c r="G101" i="79" s="1"/>
  <c r="D100" i="79"/>
  <c r="G100" i="79" s="1"/>
  <c r="G99" i="79"/>
  <c r="D99" i="79"/>
  <c r="D98" i="79"/>
  <c r="G98" i="79" s="1"/>
  <c r="G96" i="79"/>
  <c r="G95" i="79"/>
  <c r="G94" i="79"/>
  <c r="G93" i="79"/>
  <c r="G92" i="79"/>
  <c r="G90" i="79"/>
  <c r="G89" i="79"/>
  <c r="G88" i="79"/>
  <c r="G87" i="79"/>
  <c r="G86" i="79"/>
  <c r="G84" i="79"/>
  <c r="G83" i="79"/>
  <c r="G82" i="79"/>
  <c r="G81" i="79"/>
  <c r="G80" i="79"/>
  <c r="F76" i="79"/>
  <c r="E76" i="79"/>
  <c r="F75" i="79"/>
  <c r="E75" i="79"/>
  <c r="F74" i="79"/>
  <c r="F73" i="79"/>
  <c r="E73" i="79"/>
  <c r="F72" i="79"/>
  <c r="E72" i="79"/>
  <c r="G70" i="79"/>
  <c r="G69" i="79"/>
  <c r="G68" i="79"/>
  <c r="G67" i="79"/>
  <c r="G66" i="79"/>
  <c r="G64" i="79"/>
  <c r="G63" i="79"/>
  <c r="G60" i="79"/>
  <c r="G58" i="79"/>
  <c r="G57" i="79"/>
  <c r="G56" i="79"/>
  <c r="G55" i="79"/>
  <c r="G54" i="79"/>
  <c r="G48" i="79"/>
  <c r="G47" i="79"/>
  <c r="G44" i="79"/>
  <c r="G43" i="79"/>
  <c r="G40" i="79"/>
  <c r="G39" i="79"/>
  <c r="G30" i="79"/>
  <c r="D27" i="79"/>
  <c r="G24" i="79"/>
  <c r="F21" i="79"/>
  <c r="F27" i="79" s="1"/>
  <c r="G19" i="79"/>
  <c r="G15" i="79"/>
  <c r="G13" i="79"/>
  <c r="G12" i="79"/>
  <c r="G7" i="79"/>
  <c r="G6" i="79"/>
  <c r="C193" i="78"/>
  <c r="C189" i="78"/>
  <c r="C185" i="78"/>
  <c r="C184" i="78"/>
  <c r="C181" i="78"/>
  <c r="C177" i="78"/>
  <c r="C173" i="78"/>
  <c r="C169" i="78"/>
  <c r="C164" i="78"/>
  <c r="C160" i="78"/>
  <c r="C159" i="78"/>
  <c r="E152" i="78"/>
  <c r="C148" i="78"/>
  <c r="C48" i="78"/>
  <c r="C44" i="78"/>
  <c r="C40" i="78"/>
  <c r="C35" i="78"/>
  <c r="C16" i="78"/>
  <c r="C14" i="78"/>
  <c r="C8" i="78"/>
  <c r="E189" i="78"/>
  <c r="E177" i="78"/>
  <c r="E173" i="78"/>
  <c r="E169" i="78"/>
  <c r="E164" i="78"/>
  <c r="E160" i="78"/>
  <c r="E159" i="78"/>
  <c r="E133" i="78"/>
  <c r="E76" i="78"/>
  <c r="E75" i="78"/>
  <c r="E73" i="78"/>
  <c r="E72" i="78"/>
  <c r="E35" i="78"/>
  <c r="E14" i="78"/>
  <c r="E16" i="78" s="1"/>
  <c r="E21" i="78" s="1"/>
  <c r="E27" i="78" s="1"/>
  <c r="E8" i="78"/>
  <c r="C21" i="78"/>
  <c r="G8" i="78"/>
  <c r="F35" i="78"/>
  <c r="F16" i="78"/>
  <c r="F8" i="78"/>
  <c r="D35" i="78"/>
  <c r="D27" i="78"/>
  <c r="D16" i="78"/>
  <c r="D8" i="78"/>
  <c r="F189" i="78"/>
  <c r="G189" i="78" s="1"/>
  <c r="F188" i="78"/>
  <c r="G188" i="78" s="1"/>
  <c r="D185" i="78"/>
  <c r="D184" i="78"/>
  <c r="E185" i="78"/>
  <c r="E193" i="78" s="1"/>
  <c r="G177" i="78"/>
  <c r="G176" i="78"/>
  <c r="G173" i="78"/>
  <c r="G172" i="78"/>
  <c r="G169" i="78"/>
  <c r="G168" i="78"/>
  <c r="E184" i="78"/>
  <c r="G164" i="78"/>
  <c r="G163" i="78"/>
  <c r="F160" i="78"/>
  <c r="F185" i="78" s="1"/>
  <c r="D160" i="78"/>
  <c r="F159" i="78"/>
  <c r="F184" i="78" s="1"/>
  <c r="D159" i="78"/>
  <c r="G156" i="78"/>
  <c r="G155" i="78"/>
  <c r="G152" i="78"/>
  <c r="G151" i="78"/>
  <c r="G148" i="78"/>
  <c r="G147" i="78"/>
  <c r="G141" i="78"/>
  <c r="G138" i="78"/>
  <c r="G137" i="78"/>
  <c r="G133" i="78"/>
  <c r="G130" i="78"/>
  <c r="G129" i="78"/>
  <c r="G126" i="78"/>
  <c r="G124" i="78"/>
  <c r="G121" i="78"/>
  <c r="G120" i="78"/>
  <c r="G119" i="78"/>
  <c r="G117" i="78"/>
  <c r="G116" i="78"/>
  <c r="G115" i="78"/>
  <c r="G112" i="78"/>
  <c r="G111" i="78"/>
  <c r="G110" i="78"/>
  <c r="G108" i="78"/>
  <c r="G107" i="78"/>
  <c r="G106" i="78"/>
  <c r="D102" i="78"/>
  <c r="G102" i="78" s="1"/>
  <c r="D101" i="78"/>
  <c r="G101" i="78" s="1"/>
  <c r="G100" i="78"/>
  <c r="D100" i="78"/>
  <c r="G99" i="78"/>
  <c r="D99" i="78"/>
  <c r="G98" i="78"/>
  <c r="D98" i="78"/>
  <c r="G96" i="78"/>
  <c r="G95" i="78"/>
  <c r="G94" i="78"/>
  <c r="G93" i="78"/>
  <c r="G92" i="78"/>
  <c r="G90" i="78"/>
  <c r="G89" i="78"/>
  <c r="G88" i="78"/>
  <c r="G87" i="78"/>
  <c r="G86" i="78"/>
  <c r="G84" i="78"/>
  <c r="G83" i="78"/>
  <c r="G82" i="78"/>
  <c r="G81" i="78"/>
  <c r="G80" i="78"/>
  <c r="F76" i="78"/>
  <c r="D76" i="78"/>
  <c r="F75" i="78"/>
  <c r="D75" i="78"/>
  <c r="F74" i="78"/>
  <c r="D74" i="78"/>
  <c r="G74" i="78" s="1"/>
  <c r="F73" i="78"/>
  <c r="D73" i="78"/>
  <c r="F72" i="78"/>
  <c r="D72" i="78"/>
  <c r="G70" i="78"/>
  <c r="G69" i="78"/>
  <c r="G68" i="78"/>
  <c r="G67" i="78"/>
  <c r="G66" i="78"/>
  <c r="G64" i="78"/>
  <c r="G63" i="78"/>
  <c r="G60" i="78"/>
  <c r="G58" i="78"/>
  <c r="G57" i="78"/>
  <c r="G56" i="78"/>
  <c r="G55" i="78"/>
  <c r="G54" i="78"/>
  <c r="G48" i="78"/>
  <c r="G47" i="78"/>
  <c r="G44" i="78"/>
  <c r="G43" i="78"/>
  <c r="G40" i="78"/>
  <c r="G39" i="78"/>
  <c r="G30" i="78"/>
  <c r="G24" i="78"/>
  <c r="F21" i="78"/>
  <c r="F27" i="78" s="1"/>
  <c r="G19" i="78"/>
  <c r="G15" i="78"/>
  <c r="G13" i="78"/>
  <c r="G12" i="78"/>
  <c r="G7" i="78"/>
  <c r="G6" i="78"/>
  <c r="D193" i="79" l="1"/>
  <c r="G76" i="79"/>
  <c r="G73" i="79"/>
  <c r="G72" i="79"/>
  <c r="G75" i="79"/>
  <c r="G189" i="79"/>
  <c r="G159" i="79"/>
  <c r="D192" i="79"/>
  <c r="E193" i="79"/>
  <c r="G74" i="79"/>
  <c r="G35" i="79"/>
  <c r="G8" i="79"/>
  <c r="G180" i="79"/>
  <c r="E192" i="79"/>
  <c r="G181" i="79"/>
  <c r="G16" i="79"/>
  <c r="C21" i="79"/>
  <c r="G184" i="79"/>
  <c r="G14" i="79"/>
  <c r="G152" i="79"/>
  <c r="G160" i="79"/>
  <c r="F192" i="79"/>
  <c r="C185" i="79"/>
  <c r="G185" i="79" s="1"/>
  <c r="F193" i="79"/>
  <c r="E192" i="78"/>
  <c r="G72" i="78"/>
  <c r="G75" i="78"/>
  <c r="G159" i="78"/>
  <c r="D193" i="78"/>
  <c r="G160" i="78"/>
  <c r="D192" i="78"/>
  <c r="G76" i="78"/>
  <c r="G73" i="78"/>
  <c r="G35" i="78"/>
  <c r="G181" i="78"/>
  <c r="C27" i="78"/>
  <c r="G27" i="78" s="1"/>
  <c r="G21" i="78"/>
  <c r="G180" i="78"/>
  <c r="F192" i="78"/>
  <c r="G16" i="78"/>
  <c r="G185" i="78"/>
  <c r="G14" i="78"/>
  <c r="F193" i="78"/>
  <c r="F188" i="77"/>
  <c r="F188" i="76"/>
  <c r="F189" i="77"/>
  <c r="F189" i="76"/>
  <c r="E189" i="77"/>
  <c r="E177" i="77"/>
  <c r="E173" i="77"/>
  <c r="E169" i="77"/>
  <c r="E164" i="77"/>
  <c r="E160" i="77"/>
  <c r="E159" i="77"/>
  <c r="E148" i="77"/>
  <c r="E133" i="77"/>
  <c r="E35" i="77"/>
  <c r="E14" i="77"/>
  <c r="E16" i="77" s="1"/>
  <c r="E8" i="77"/>
  <c r="G193" i="79" l="1"/>
  <c r="G192" i="79"/>
  <c r="C27" i="79"/>
  <c r="G27" i="79" s="1"/>
  <c r="G21" i="79"/>
  <c r="G193" i="78"/>
  <c r="G192" i="78"/>
  <c r="G184" i="78"/>
  <c r="D102" i="77"/>
  <c r="D101" i="77"/>
  <c r="D76" i="77"/>
  <c r="D75" i="77"/>
  <c r="D74" i="77"/>
  <c r="D73" i="77"/>
  <c r="D72" i="77"/>
  <c r="D35" i="77"/>
  <c r="D27" i="77"/>
  <c r="D16" i="77"/>
  <c r="D8" i="77"/>
  <c r="F76" i="77" l="1"/>
  <c r="F75" i="77"/>
  <c r="G75" i="77" s="1"/>
  <c r="F74" i="77"/>
  <c r="F73" i="77"/>
  <c r="F72" i="77"/>
  <c r="F35" i="77"/>
  <c r="F16" i="77"/>
  <c r="F8" i="77"/>
  <c r="C193" i="77"/>
  <c r="C189" i="77"/>
  <c r="C185" i="77"/>
  <c r="C184" i="77"/>
  <c r="C181" i="77"/>
  <c r="C177" i="77"/>
  <c r="C173" i="77"/>
  <c r="C169" i="77"/>
  <c r="C164" i="77"/>
  <c r="C160" i="77"/>
  <c r="C159" i="77"/>
  <c r="C148" i="77"/>
  <c r="C76" i="77"/>
  <c r="C48" i="77"/>
  <c r="C44" i="77"/>
  <c r="G44" i="77" s="1"/>
  <c r="C40" i="77"/>
  <c r="G168" i="77"/>
  <c r="C35" i="77"/>
  <c r="C27" i="77"/>
  <c r="C21" i="77"/>
  <c r="C16" i="77"/>
  <c r="C8" i="77"/>
  <c r="G8" i="77" s="1"/>
  <c r="G188" i="77"/>
  <c r="D185" i="77"/>
  <c r="D184" i="77"/>
  <c r="G177" i="77"/>
  <c r="G176" i="77"/>
  <c r="G173" i="77"/>
  <c r="G172" i="77"/>
  <c r="G164" i="77"/>
  <c r="G163" i="77"/>
  <c r="F160" i="77"/>
  <c r="D160" i="77"/>
  <c r="D193" i="77" s="1"/>
  <c r="F159" i="77"/>
  <c r="D159" i="77"/>
  <c r="G156" i="77"/>
  <c r="G155" i="77"/>
  <c r="G152" i="77"/>
  <c r="G151" i="77"/>
  <c r="G148" i="77"/>
  <c r="G147" i="77"/>
  <c r="G141" i="77"/>
  <c r="G138" i="77"/>
  <c r="G137" i="77"/>
  <c r="G133" i="77"/>
  <c r="G130" i="77"/>
  <c r="G129" i="77"/>
  <c r="G126" i="77"/>
  <c r="G124" i="77"/>
  <c r="G121" i="77"/>
  <c r="G120" i="77"/>
  <c r="G119" i="77"/>
  <c r="G117" i="77"/>
  <c r="G116" i="77"/>
  <c r="G115" i="77"/>
  <c r="G112" i="77"/>
  <c r="G111" i="77"/>
  <c r="G110" i="77"/>
  <c r="G108" i="77"/>
  <c r="G107" i="77"/>
  <c r="G106" i="77"/>
  <c r="G102" i="77"/>
  <c r="G101" i="77"/>
  <c r="G100" i="77"/>
  <c r="D100" i="77"/>
  <c r="D99" i="77"/>
  <c r="G99" i="77" s="1"/>
  <c r="G98" i="77"/>
  <c r="D98" i="77"/>
  <c r="G96" i="77"/>
  <c r="G95" i="77"/>
  <c r="G94" i="77"/>
  <c r="G93" i="77"/>
  <c r="G92" i="77"/>
  <c r="G90" i="77"/>
  <c r="G89" i="77"/>
  <c r="G88" i="77"/>
  <c r="G87" i="77"/>
  <c r="G86" i="77"/>
  <c r="G84" i="77"/>
  <c r="G83" i="77"/>
  <c r="G82" i="77"/>
  <c r="G81" i="77"/>
  <c r="G80" i="77"/>
  <c r="E76" i="77"/>
  <c r="E75" i="77"/>
  <c r="E73" i="77"/>
  <c r="E72" i="77"/>
  <c r="G70" i="77"/>
  <c r="G69" i="77"/>
  <c r="G68" i="77"/>
  <c r="G67" i="77"/>
  <c r="G66" i="77"/>
  <c r="G64" i="77"/>
  <c r="G63" i="77"/>
  <c r="G60" i="77"/>
  <c r="G58" i="77"/>
  <c r="G57" i="77"/>
  <c r="G56" i="77"/>
  <c r="G55" i="77"/>
  <c r="G54" i="77"/>
  <c r="G48" i="77"/>
  <c r="G47" i="77"/>
  <c r="G43" i="77"/>
  <c r="G40" i="77"/>
  <c r="G39" i="77"/>
  <c r="G35" i="77"/>
  <c r="G34" i="77"/>
  <c r="G33" i="77"/>
  <c r="G30" i="77"/>
  <c r="G24" i="77"/>
  <c r="G19" i="77"/>
  <c r="F21" i="77"/>
  <c r="F27" i="77" s="1"/>
  <c r="G15" i="77"/>
  <c r="E21" i="77"/>
  <c r="G13" i="77"/>
  <c r="G12" i="77"/>
  <c r="G7" i="77"/>
  <c r="G6" i="77"/>
  <c r="F184" i="77" l="1"/>
  <c r="F192" i="77"/>
  <c r="F185" i="77"/>
  <c r="G185" i="77" s="1"/>
  <c r="F193" i="77"/>
  <c r="G181" i="77"/>
  <c r="E185" i="77"/>
  <c r="E193" i="77" s="1"/>
  <c r="D192" i="77"/>
  <c r="G180" i="77"/>
  <c r="E184" i="77"/>
  <c r="E192" i="77" s="1"/>
  <c r="G72" i="77"/>
  <c r="G73" i="77"/>
  <c r="G76" i="77"/>
  <c r="G169" i="77"/>
  <c r="G189" i="77"/>
  <c r="G159" i="77"/>
  <c r="G160" i="77"/>
  <c r="G74" i="77"/>
  <c r="G21" i="77"/>
  <c r="E27" i="77"/>
  <c r="G27" i="77" s="1"/>
  <c r="G16" i="77"/>
  <c r="G14" i="77"/>
  <c r="G184" i="77"/>
  <c r="E189" i="76"/>
  <c r="E185" i="76"/>
  <c r="E177" i="76"/>
  <c r="E173" i="76"/>
  <c r="E169" i="76"/>
  <c r="E164" i="76"/>
  <c r="E160" i="76"/>
  <c r="E159" i="76"/>
  <c r="E152" i="76"/>
  <c r="E133" i="76"/>
  <c r="E76" i="76"/>
  <c r="E75" i="76"/>
  <c r="E73" i="76"/>
  <c r="E72" i="76"/>
  <c r="E35" i="76"/>
  <c r="E14" i="76"/>
  <c r="E16" i="76" s="1"/>
  <c r="E21" i="76" s="1"/>
  <c r="E27" i="76" s="1"/>
  <c r="E8" i="76"/>
  <c r="G192" i="77" l="1"/>
  <c r="G193" i="77"/>
  <c r="F185" i="76"/>
  <c r="F193" i="76" s="1"/>
  <c r="F189" i="75"/>
  <c r="F184" i="76"/>
  <c r="F192" i="76" s="1"/>
  <c r="F184" i="75"/>
  <c r="F188" i="75"/>
  <c r="C185" i="76"/>
  <c r="C185" i="75"/>
  <c r="F160" i="76" l="1"/>
  <c r="F159" i="76"/>
  <c r="F76" i="76"/>
  <c r="F75" i="76"/>
  <c r="F74" i="76"/>
  <c r="F73" i="76"/>
  <c r="F72" i="76"/>
  <c r="F35" i="76"/>
  <c r="F16" i="76"/>
  <c r="F21" i="76" s="1"/>
  <c r="F8" i="76"/>
  <c r="C193" i="76"/>
  <c r="C189" i="76"/>
  <c r="C181" i="76"/>
  <c r="C177" i="76"/>
  <c r="C173" i="76"/>
  <c r="C169" i="76"/>
  <c r="C164" i="76"/>
  <c r="C159" i="76"/>
  <c r="C148" i="76"/>
  <c r="C160" i="76" s="1"/>
  <c r="C48" i="76"/>
  <c r="C44" i="76"/>
  <c r="C40" i="76"/>
  <c r="C35" i="76"/>
  <c r="C16" i="76"/>
  <c r="C8" i="76"/>
  <c r="C8" i="71"/>
  <c r="C14" i="71"/>
  <c r="C16" i="71" s="1"/>
  <c r="D184" i="76"/>
  <c r="D185" i="76"/>
  <c r="D102" i="76"/>
  <c r="D101" i="76"/>
  <c r="D76" i="76"/>
  <c r="D75" i="76"/>
  <c r="D74" i="76"/>
  <c r="D73" i="76"/>
  <c r="D72" i="76"/>
  <c r="D35" i="76"/>
  <c r="D27" i="76"/>
  <c r="D16" i="76"/>
  <c r="D8" i="76"/>
  <c r="G189" i="76" l="1"/>
  <c r="G181" i="76"/>
  <c r="G180" i="76"/>
  <c r="G177" i="76"/>
  <c r="G176" i="76"/>
  <c r="G173" i="76"/>
  <c r="G172" i="76"/>
  <c r="G168" i="76"/>
  <c r="G164" i="76"/>
  <c r="G163" i="76"/>
  <c r="D160" i="76"/>
  <c r="D193" i="76" s="1"/>
  <c r="D159" i="76"/>
  <c r="D192" i="76" s="1"/>
  <c r="G156" i="76"/>
  <c r="G155" i="76"/>
  <c r="G152" i="76"/>
  <c r="G151" i="76"/>
  <c r="G148" i="76"/>
  <c r="G147" i="76"/>
  <c r="G141" i="76"/>
  <c r="G138" i="76"/>
  <c r="G137" i="76"/>
  <c r="G133" i="76"/>
  <c r="G130" i="76"/>
  <c r="G129" i="76"/>
  <c r="G126" i="76"/>
  <c r="G124" i="76"/>
  <c r="G121" i="76"/>
  <c r="G120" i="76"/>
  <c r="G119" i="76"/>
  <c r="G117" i="76"/>
  <c r="G116" i="76"/>
  <c r="G115" i="76"/>
  <c r="G112" i="76"/>
  <c r="G111" i="76"/>
  <c r="G110" i="76"/>
  <c r="G108" i="76"/>
  <c r="G107" i="76"/>
  <c r="G106" i="76"/>
  <c r="G102" i="76"/>
  <c r="G101" i="76"/>
  <c r="D100" i="76"/>
  <c r="G100" i="76" s="1"/>
  <c r="D99" i="76"/>
  <c r="G99" i="76" s="1"/>
  <c r="D98" i="76"/>
  <c r="G98" i="76" s="1"/>
  <c r="G96" i="76"/>
  <c r="G95" i="76"/>
  <c r="G94" i="76"/>
  <c r="G93" i="76"/>
  <c r="G92" i="76"/>
  <c r="G90" i="76"/>
  <c r="G89" i="76"/>
  <c r="G88" i="76"/>
  <c r="G87" i="76"/>
  <c r="G86" i="76"/>
  <c r="G84" i="76"/>
  <c r="G83" i="76"/>
  <c r="G82" i="76"/>
  <c r="G81" i="76"/>
  <c r="G80" i="76"/>
  <c r="G70" i="76"/>
  <c r="G69" i="76"/>
  <c r="G68" i="76"/>
  <c r="G67" i="76"/>
  <c r="G66" i="76"/>
  <c r="G64" i="76"/>
  <c r="G63" i="76"/>
  <c r="G60" i="76"/>
  <c r="G58" i="76"/>
  <c r="G57" i="76"/>
  <c r="G56" i="76"/>
  <c r="G55" i="76"/>
  <c r="G54" i="76"/>
  <c r="G48" i="76"/>
  <c r="G47" i="76"/>
  <c r="G44" i="76"/>
  <c r="G43" i="76"/>
  <c r="G40" i="76"/>
  <c r="G39" i="76"/>
  <c r="G34" i="76"/>
  <c r="G33" i="76"/>
  <c r="G30" i="76"/>
  <c r="G24" i="76"/>
  <c r="G19" i="76"/>
  <c r="F27" i="76"/>
  <c r="G15" i="76"/>
  <c r="G14" i="76"/>
  <c r="G13" i="76"/>
  <c r="G12" i="76"/>
  <c r="G7" i="76"/>
  <c r="G6" i="76"/>
  <c r="G169" i="76" l="1"/>
  <c r="G185" i="76"/>
  <c r="G160" i="76"/>
  <c r="E192" i="76"/>
  <c r="G188" i="76"/>
  <c r="E193" i="76"/>
  <c r="G193" i="76" s="1"/>
  <c r="G8" i="76"/>
  <c r="G184" i="76"/>
  <c r="G159" i="76"/>
  <c r="G75" i="76"/>
  <c r="G74" i="76"/>
  <c r="G73" i="76"/>
  <c r="G72" i="76"/>
  <c r="G76" i="76"/>
  <c r="G35" i="76"/>
  <c r="C21" i="76"/>
  <c r="C27" i="76" s="1"/>
  <c r="G16" i="76"/>
  <c r="F189" i="74"/>
  <c r="F188" i="74"/>
  <c r="F185" i="75"/>
  <c r="F185" i="74"/>
  <c r="F184" i="74"/>
  <c r="F76" i="75"/>
  <c r="F75" i="75"/>
  <c r="F74" i="75"/>
  <c r="F73" i="75"/>
  <c r="F72" i="75"/>
  <c r="F35" i="75"/>
  <c r="F16" i="75"/>
  <c r="F21" i="75" s="1"/>
  <c r="F27" i="75" s="1"/>
  <c r="F8" i="75"/>
  <c r="D8" i="75"/>
  <c r="E189" i="75"/>
  <c r="E185" i="75"/>
  <c r="E193" i="75" s="1"/>
  <c r="E184" i="75"/>
  <c r="E192" i="75" s="1"/>
  <c r="E177" i="75"/>
  <c r="E173" i="75"/>
  <c r="E169" i="75"/>
  <c r="E164" i="75"/>
  <c r="E133" i="75"/>
  <c r="E76" i="75"/>
  <c r="E75" i="75"/>
  <c r="E73" i="75"/>
  <c r="E72" i="75"/>
  <c r="E35" i="75"/>
  <c r="E14" i="75"/>
  <c r="E16" i="75" s="1"/>
  <c r="E21" i="75" s="1"/>
  <c r="E27" i="75" s="1"/>
  <c r="E8" i="75"/>
  <c r="D34" i="75"/>
  <c r="D35" i="75" s="1"/>
  <c r="D193" i="75"/>
  <c r="D192" i="75"/>
  <c r="D185" i="75"/>
  <c r="D184" i="75"/>
  <c r="D160" i="75"/>
  <c r="D159" i="75"/>
  <c r="D102" i="75"/>
  <c r="D101" i="75"/>
  <c r="D100" i="75"/>
  <c r="D99" i="75"/>
  <c r="D98" i="75"/>
  <c r="D76" i="75"/>
  <c r="D75" i="75"/>
  <c r="D74" i="75"/>
  <c r="D73" i="75"/>
  <c r="D72" i="75"/>
  <c r="D27" i="75"/>
  <c r="D16" i="75"/>
  <c r="G192" i="76" l="1"/>
  <c r="G21" i="76"/>
  <c r="G27" i="76"/>
  <c r="C193" i="75"/>
  <c r="C189" i="75"/>
  <c r="C181" i="75"/>
  <c r="C177" i="75"/>
  <c r="C173" i="75"/>
  <c r="C169" i="75"/>
  <c r="C164" i="75"/>
  <c r="C160" i="75"/>
  <c r="C159" i="75"/>
  <c r="C148" i="75"/>
  <c r="C67" i="75"/>
  <c r="C55" i="75"/>
  <c r="C48" i="75"/>
  <c r="G48" i="75" s="1"/>
  <c r="C44" i="75"/>
  <c r="C40" i="75"/>
  <c r="C35" i="75"/>
  <c r="C14" i="75"/>
  <c r="C16" i="75" s="1"/>
  <c r="C8" i="75"/>
  <c r="C73" i="73"/>
  <c r="C35" i="71"/>
  <c r="C40" i="71"/>
  <c r="C44" i="71"/>
  <c r="C48" i="71"/>
  <c r="C148" i="71"/>
  <c r="C8" i="68"/>
  <c r="G189" i="75"/>
  <c r="G188" i="75"/>
  <c r="G181" i="75"/>
  <c r="G180" i="75"/>
  <c r="G177" i="75"/>
  <c r="G176" i="75"/>
  <c r="G173" i="75"/>
  <c r="G172" i="75"/>
  <c r="G169" i="75"/>
  <c r="G168" i="75"/>
  <c r="G164" i="75"/>
  <c r="G163" i="75"/>
  <c r="F160" i="75"/>
  <c r="F159" i="75"/>
  <c r="E159" i="75"/>
  <c r="G159" i="75"/>
  <c r="G156" i="75"/>
  <c r="G155" i="75"/>
  <c r="G152" i="75"/>
  <c r="E152" i="75"/>
  <c r="E160" i="75" s="1"/>
  <c r="G151" i="75"/>
  <c r="G147" i="75"/>
  <c r="G141" i="75"/>
  <c r="G138" i="75"/>
  <c r="G137" i="75"/>
  <c r="G133" i="75"/>
  <c r="G130" i="75"/>
  <c r="G129" i="75"/>
  <c r="G126" i="75"/>
  <c r="G124" i="75"/>
  <c r="G121" i="75"/>
  <c r="G120" i="75"/>
  <c r="G119" i="75"/>
  <c r="G117" i="75"/>
  <c r="G116" i="75"/>
  <c r="G115" i="75"/>
  <c r="G112" i="75"/>
  <c r="G111" i="75"/>
  <c r="G110" i="75"/>
  <c r="G108" i="75"/>
  <c r="G107" i="75"/>
  <c r="G106" i="75"/>
  <c r="E102" i="75"/>
  <c r="E101" i="75"/>
  <c r="G101" i="75"/>
  <c r="G100" i="75"/>
  <c r="G99" i="75"/>
  <c r="G98" i="75"/>
  <c r="G96" i="75"/>
  <c r="G95" i="75"/>
  <c r="G94" i="75"/>
  <c r="G93" i="75"/>
  <c r="G92" i="75"/>
  <c r="G90" i="75"/>
  <c r="G89" i="75"/>
  <c r="G88" i="75"/>
  <c r="G87" i="75"/>
  <c r="G86" i="75"/>
  <c r="G84" i="75"/>
  <c r="G83" i="75"/>
  <c r="G82" i="75"/>
  <c r="G81" i="75"/>
  <c r="G80" i="75"/>
  <c r="G76" i="75"/>
  <c r="G75" i="75"/>
  <c r="G74" i="75"/>
  <c r="G73" i="75"/>
  <c r="G72" i="75"/>
  <c r="G70" i="75"/>
  <c r="G69" i="75"/>
  <c r="G68" i="75"/>
  <c r="G67" i="75"/>
  <c r="G66" i="75"/>
  <c r="G64" i="75"/>
  <c r="G63" i="75"/>
  <c r="G60" i="75"/>
  <c r="G58" i="75"/>
  <c r="G57" i="75"/>
  <c r="G56" i="75"/>
  <c r="G55" i="75"/>
  <c r="G54" i="75"/>
  <c r="G47" i="75"/>
  <c r="G44" i="75"/>
  <c r="G43" i="75"/>
  <c r="G40" i="75"/>
  <c r="G39" i="75"/>
  <c r="G35" i="75"/>
  <c r="G33" i="75"/>
  <c r="G30" i="75"/>
  <c r="G24" i="75"/>
  <c r="G19" i="75"/>
  <c r="G15" i="75"/>
  <c r="G14" i="75"/>
  <c r="G13" i="75"/>
  <c r="G12" i="75"/>
  <c r="G7" i="75"/>
  <c r="G6" i="75"/>
  <c r="F193" i="75" l="1"/>
  <c r="G193" i="75" s="1"/>
  <c r="G160" i="75"/>
  <c r="G102" i="75"/>
  <c r="G34" i="75"/>
  <c r="G8" i="75"/>
  <c r="G185" i="75"/>
  <c r="G148" i="75"/>
  <c r="F192" i="75"/>
  <c r="G192" i="75" s="1"/>
  <c r="G184" i="75"/>
  <c r="F159" i="74"/>
  <c r="F160" i="74"/>
  <c r="F76" i="74"/>
  <c r="F75" i="74"/>
  <c r="F74" i="74"/>
  <c r="F73" i="74"/>
  <c r="F72" i="74"/>
  <c r="F35" i="74"/>
  <c r="F16" i="74"/>
  <c r="F8" i="74"/>
  <c r="D34" i="74"/>
  <c r="D102" i="74"/>
  <c r="D101" i="74"/>
  <c r="D100" i="74"/>
  <c r="D99" i="74"/>
  <c r="D98" i="74"/>
  <c r="D76" i="74"/>
  <c r="D75" i="74"/>
  <c r="D74" i="74"/>
  <c r="D73" i="74"/>
  <c r="D72" i="74"/>
  <c r="D35" i="74"/>
  <c r="D16" i="74"/>
  <c r="D8" i="74"/>
  <c r="C21" i="75" l="1"/>
  <c r="G16" i="75"/>
  <c r="E189" i="74"/>
  <c r="E177" i="74"/>
  <c r="E173" i="74"/>
  <c r="E169" i="74"/>
  <c r="E164" i="74"/>
  <c r="E133" i="74"/>
  <c r="E102" i="74"/>
  <c r="E101" i="74"/>
  <c r="E76" i="74"/>
  <c r="E75" i="74"/>
  <c r="E73" i="74"/>
  <c r="E72" i="74"/>
  <c r="G72" i="74" s="1"/>
  <c r="E35" i="74"/>
  <c r="E14" i="74"/>
  <c r="E16" i="74" s="1"/>
  <c r="E21" i="74" s="1"/>
  <c r="E27" i="74" s="1"/>
  <c r="E8" i="74"/>
  <c r="C193" i="74"/>
  <c r="C189" i="74"/>
  <c r="G189" i="74" s="1"/>
  <c r="C185" i="74"/>
  <c r="C181" i="74"/>
  <c r="C177" i="74"/>
  <c r="C173" i="74"/>
  <c r="C169" i="74"/>
  <c r="C164" i="74"/>
  <c r="C148" i="74"/>
  <c r="C48" i="74"/>
  <c r="C44" i="74"/>
  <c r="C40" i="74"/>
  <c r="C35" i="74"/>
  <c r="C16" i="74"/>
  <c r="C14" i="74"/>
  <c r="C8" i="74"/>
  <c r="G8" i="74"/>
  <c r="G188" i="74"/>
  <c r="D185" i="74"/>
  <c r="F192" i="74"/>
  <c r="E184" i="74"/>
  <c r="D184" i="74"/>
  <c r="G181" i="74"/>
  <c r="G180" i="74"/>
  <c r="G177" i="74"/>
  <c r="E185" i="74"/>
  <c r="G176" i="74"/>
  <c r="G173" i="74"/>
  <c r="G172" i="74"/>
  <c r="G169" i="74"/>
  <c r="G168" i="74"/>
  <c r="G164" i="74"/>
  <c r="G163" i="74"/>
  <c r="D160" i="74"/>
  <c r="E159" i="74"/>
  <c r="D159" i="74"/>
  <c r="C159" i="74"/>
  <c r="G156" i="74"/>
  <c r="G155" i="74"/>
  <c r="G152" i="74"/>
  <c r="E152" i="74"/>
  <c r="E160" i="74" s="1"/>
  <c r="G151" i="74"/>
  <c r="C160" i="74"/>
  <c r="G147" i="74"/>
  <c r="G141" i="74"/>
  <c r="G138" i="74"/>
  <c r="G137" i="74"/>
  <c r="G133" i="74"/>
  <c r="G130" i="74"/>
  <c r="G129" i="74"/>
  <c r="G126" i="74"/>
  <c r="G124" i="74"/>
  <c r="G121" i="74"/>
  <c r="G120" i="74"/>
  <c r="G119" i="74"/>
  <c r="G117" i="74"/>
  <c r="G116" i="74"/>
  <c r="G115" i="74"/>
  <c r="G112" i="74"/>
  <c r="G111" i="74"/>
  <c r="G110" i="74"/>
  <c r="G108" i="74"/>
  <c r="G107" i="74"/>
  <c r="G106" i="74"/>
  <c r="G102" i="74"/>
  <c r="G101" i="74"/>
  <c r="G100" i="74"/>
  <c r="G99" i="74"/>
  <c r="G98" i="74"/>
  <c r="G96" i="74"/>
  <c r="G95" i="74"/>
  <c r="G94" i="74"/>
  <c r="G93" i="74"/>
  <c r="G92" i="74"/>
  <c r="G90" i="74"/>
  <c r="G89" i="74"/>
  <c r="G88" i="74"/>
  <c r="G87" i="74"/>
  <c r="G86" i="74"/>
  <c r="G84" i="74"/>
  <c r="G83" i="74"/>
  <c r="G82" i="74"/>
  <c r="G81" i="74"/>
  <c r="G80" i="74"/>
  <c r="G74" i="74"/>
  <c r="G73" i="74"/>
  <c r="G70" i="74"/>
  <c r="G69" i="74"/>
  <c r="G68" i="74"/>
  <c r="G67" i="74"/>
  <c r="G66" i="74"/>
  <c r="G64" i="74"/>
  <c r="G63" i="74"/>
  <c r="G60" i="74"/>
  <c r="G58" i="74"/>
  <c r="G57" i="74"/>
  <c r="G56" i="74"/>
  <c r="G55" i="74"/>
  <c r="G54" i="74"/>
  <c r="G48" i="74"/>
  <c r="G47" i="74"/>
  <c r="G44" i="74"/>
  <c r="G43" i="74"/>
  <c r="G40" i="74"/>
  <c r="G39" i="74"/>
  <c r="G35" i="74"/>
  <c r="G33" i="74"/>
  <c r="G30" i="74"/>
  <c r="D27" i="74"/>
  <c r="G24" i="74"/>
  <c r="G19" i="74"/>
  <c r="F21" i="74"/>
  <c r="F27" i="74" s="1"/>
  <c r="G15" i="74"/>
  <c r="G14" i="74"/>
  <c r="G13" i="74"/>
  <c r="G12" i="74"/>
  <c r="G7" i="74"/>
  <c r="G6" i="74"/>
  <c r="G21" i="75" l="1"/>
  <c r="C27" i="75"/>
  <c r="G27" i="75" s="1"/>
  <c r="E192" i="74"/>
  <c r="D193" i="74"/>
  <c r="F193" i="74"/>
  <c r="G160" i="74"/>
  <c r="G159" i="74"/>
  <c r="D192" i="74"/>
  <c r="G76" i="74"/>
  <c r="G75" i="74"/>
  <c r="G34" i="74"/>
  <c r="G185" i="74"/>
  <c r="E193" i="74"/>
  <c r="G148" i="74"/>
  <c r="G184" i="74"/>
  <c r="F185" i="73"/>
  <c r="F185" i="72"/>
  <c r="F184" i="73"/>
  <c r="F184" i="72"/>
  <c r="F188" i="73"/>
  <c r="F189" i="73"/>
  <c r="G193" i="74" l="1"/>
  <c r="G192" i="74"/>
  <c r="C21" i="74"/>
  <c r="G16" i="74"/>
  <c r="D34" i="73"/>
  <c r="D34" i="72"/>
  <c r="C193" i="73"/>
  <c r="C189" i="73"/>
  <c r="C185" i="73"/>
  <c r="C181" i="73"/>
  <c r="C177" i="73"/>
  <c r="C173" i="73"/>
  <c r="C169" i="73"/>
  <c r="C164" i="73"/>
  <c r="C160" i="73"/>
  <c r="C159" i="73"/>
  <c r="C148" i="73"/>
  <c r="C48" i="73"/>
  <c r="C44" i="73"/>
  <c r="C40" i="73"/>
  <c r="C35" i="73"/>
  <c r="C21" i="73"/>
  <c r="C27" i="73" s="1"/>
  <c r="C14" i="73"/>
  <c r="C16" i="73" s="1"/>
  <c r="C8" i="73"/>
  <c r="F35" i="73"/>
  <c r="F21" i="73"/>
  <c r="F16" i="73"/>
  <c r="F8" i="73"/>
  <c r="D76" i="73"/>
  <c r="D75" i="73"/>
  <c r="D74" i="73"/>
  <c r="D73" i="73"/>
  <c r="D72" i="73"/>
  <c r="D35" i="73"/>
  <c r="D16" i="73"/>
  <c r="D8" i="73"/>
  <c r="E189" i="73"/>
  <c r="E185" i="73"/>
  <c r="E184" i="73"/>
  <c r="E177" i="73"/>
  <c r="E173" i="73"/>
  <c r="E169" i="73"/>
  <c r="E164" i="73"/>
  <c r="E133" i="73"/>
  <c r="E48" i="73"/>
  <c r="E35" i="73"/>
  <c r="E21" i="73"/>
  <c r="E14" i="73"/>
  <c r="E16" i="73" s="1"/>
  <c r="E8" i="73"/>
  <c r="G189" i="73"/>
  <c r="G188" i="73"/>
  <c r="D185" i="73"/>
  <c r="D184" i="73"/>
  <c r="G181" i="73"/>
  <c r="G180" i="73"/>
  <c r="G177" i="73"/>
  <c r="G176" i="73"/>
  <c r="G173" i="73"/>
  <c r="G172" i="73"/>
  <c r="G169" i="73"/>
  <c r="G168" i="73"/>
  <c r="G164" i="73"/>
  <c r="G163" i="73"/>
  <c r="F160" i="73"/>
  <c r="F193" i="73" s="1"/>
  <c r="D160" i="73"/>
  <c r="F159" i="73"/>
  <c r="F192" i="73" s="1"/>
  <c r="E159" i="73"/>
  <c r="D159" i="73"/>
  <c r="G159" i="73" s="1"/>
  <c r="G156" i="73"/>
  <c r="G155" i="73"/>
  <c r="E152" i="73"/>
  <c r="G151" i="73"/>
  <c r="G148" i="73"/>
  <c r="G147" i="73"/>
  <c r="G141" i="73"/>
  <c r="G138" i="73"/>
  <c r="G137" i="73"/>
  <c r="G133" i="73"/>
  <c r="G130" i="73"/>
  <c r="G129" i="73"/>
  <c r="G126" i="73"/>
  <c r="G124" i="73"/>
  <c r="G121" i="73"/>
  <c r="G120" i="73"/>
  <c r="G119" i="73"/>
  <c r="G117" i="73"/>
  <c r="G116" i="73"/>
  <c r="G115" i="73"/>
  <c r="G112" i="73"/>
  <c r="G111" i="73"/>
  <c r="G110" i="73"/>
  <c r="G108" i="73"/>
  <c r="G107" i="73"/>
  <c r="G106" i="73"/>
  <c r="D102" i="73"/>
  <c r="G102" i="73" s="1"/>
  <c r="D101" i="73"/>
  <c r="G101" i="73" s="1"/>
  <c r="G100" i="73"/>
  <c r="G99" i="73"/>
  <c r="G98" i="73"/>
  <c r="G96" i="73"/>
  <c r="G95" i="73"/>
  <c r="G94" i="73"/>
  <c r="G93" i="73"/>
  <c r="G92" i="73"/>
  <c r="G90" i="73"/>
  <c r="G89" i="73"/>
  <c r="G88" i="73"/>
  <c r="G87" i="73"/>
  <c r="G86" i="73"/>
  <c r="G84" i="73"/>
  <c r="G83" i="73"/>
  <c r="G82" i="73"/>
  <c r="G81" i="73"/>
  <c r="G80" i="73"/>
  <c r="F76" i="73"/>
  <c r="E76" i="73"/>
  <c r="G76" i="73"/>
  <c r="F75" i="73"/>
  <c r="E75" i="73"/>
  <c r="G75" i="73"/>
  <c r="F74" i="73"/>
  <c r="G74" i="73"/>
  <c r="F73" i="73"/>
  <c r="E73" i="73"/>
  <c r="G73" i="73"/>
  <c r="F72" i="73"/>
  <c r="E72" i="73"/>
  <c r="G72" i="73"/>
  <c r="G70" i="73"/>
  <c r="G69" i="73"/>
  <c r="G68" i="73"/>
  <c r="G67" i="73"/>
  <c r="G66" i="73"/>
  <c r="G64" i="73"/>
  <c r="G63" i="73"/>
  <c r="G60" i="73"/>
  <c r="G58" i="73"/>
  <c r="G57" i="73"/>
  <c r="G56" i="73"/>
  <c r="G55" i="73"/>
  <c r="G54" i="73"/>
  <c r="G48" i="73"/>
  <c r="G47" i="73"/>
  <c r="G44" i="73"/>
  <c r="G43" i="73"/>
  <c r="G40" i="73"/>
  <c r="G39" i="73"/>
  <c r="G35" i="73"/>
  <c r="G34" i="73"/>
  <c r="G33" i="73"/>
  <c r="G30" i="73"/>
  <c r="G24" i="73"/>
  <c r="G19" i="73"/>
  <c r="F27" i="73"/>
  <c r="E27" i="73"/>
  <c r="G15" i="73"/>
  <c r="G13" i="73"/>
  <c r="G12" i="73"/>
  <c r="G7" i="73"/>
  <c r="G6" i="73"/>
  <c r="G21" i="74" l="1"/>
  <c r="C27" i="74"/>
  <c r="G27" i="74" s="1"/>
  <c r="G8" i="73"/>
  <c r="G16" i="73"/>
  <c r="G14" i="73"/>
  <c r="D27" i="73"/>
  <c r="G27" i="73" s="1"/>
  <c r="G21" i="73"/>
  <c r="E160" i="73"/>
  <c r="G152" i="73"/>
  <c r="G160" i="73"/>
  <c r="D192" i="73"/>
  <c r="G184" i="73"/>
  <c r="E192" i="73"/>
  <c r="G185" i="73"/>
  <c r="D193" i="73"/>
  <c r="E193" i="73"/>
  <c r="F184" i="70"/>
  <c r="F185" i="70"/>
  <c r="F188" i="72"/>
  <c r="F188" i="70"/>
  <c r="F189" i="72"/>
  <c r="G193" i="73" l="1"/>
  <c r="G192" i="73"/>
  <c r="G110" i="72"/>
  <c r="F35" i="72"/>
  <c r="F21" i="72"/>
  <c r="F16" i="72"/>
  <c r="F8" i="72"/>
  <c r="C193" i="72"/>
  <c r="C189" i="72"/>
  <c r="C185" i="72"/>
  <c r="C181" i="72"/>
  <c r="C177" i="72"/>
  <c r="C173" i="72"/>
  <c r="C169" i="72"/>
  <c r="C164" i="72"/>
  <c r="C160" i="72"/>
  <c r="C148" i="72"/>
  <c r="C48" i="72"/>
  <c r="C44" i="72"/>
  <c r="C40" i="72"/>
  <c r="C35" i="72"/>
  <c r="C14" i="72"/>
  <c r="C16" i="72" s="1"/>
  <c r="C8" i="72"/>
  <c r="D160" i="72"/>
  <c r="D159" i="72"/>
  <c r="D102" i="72"/>
  <c r="D101" i="72"/>
  <c r="D35" i="72"/>
  <c r="D16" i="72"/>
  <c r="D8" i="72"/>
  <c r="E189" i="72"/>
  <c r="E185" i="72"/>
  <c r="E184" i="72"/>
  <c r="E177" i="72"/>
  <c r="E173" i="72"/>
  <c r="E169" i="72"/>
  <c r="E164" i="72"/>
  <c r="E133" i="72"/>
  <c r="E76" i="72"/>
  <c r="E75" i="72"/>
  <c r="E73" i="72"/>
  <c r="E72" i="72"/>
  <c r="E48" i="72"/>
  <c r="E35" i="72"/>
  <c r="E16" i="72"/>
  <c r="E8" i="72"/>
  <c r="G189" i="72"/>
  <c r="G188" i="72"/>
  <c r="D185" i="72"/>
  <c r="D184" i="72"/>
  <c r="G181" i="72"/>
  <c r="G180" i="72"/>
  <c r="G177" i="72"/>
  <c r="G176" i="72"/>
  <c r="G173" i="72"/>
  <c r="G172" i="72"/>
  <c r="G169" i="72"/>
  <c r="G168" i="72"/>
  <c r="G164" i="72"/>
  <c r="G163" i="72"/>
  <c r="F160" i="72"/>
  <c r="F193" i="72" s="1"/>
  <c r="F159" i="72"/>
  <c r="F192" i="72" s="1"/>
  <c r="E159" i="72"/>
  <c r="G159" i="72"/>
  <c r="G156" i="72"/>
  <c r="G155" i="72"/>
  <c r="E152" i="72"/>
  <c r="G151" i="72"/>
  <c r="G147" i="72"/>
  <c r="G141" i="72"/>
  <c r="G138" i="72"/>
  <c r="G137" i="72"/>
  <c r="G133" i="72"/>
  <c r="G130" i="72"/>
  <c r="G129" i="72"/>
  <c r="G126" i="72"/>
  <c r="G124" i="72"/>
  <c r="G121" i="72"/>
  <c r="G120" i="72"/>
  <c r="G119" i="72"/>
  <c r="G117" i="72"/>
  <c r="G116" i="72"/>
  <c r="G115" i="72"/>
  <c r="G112" i="72"/>
  <c r="G111" i="72"/>
  <c r="G108" i="72"/>
  <c r="G107" i="72"/>
  <c r="G106" i="72"/>
  <c r="G102" i="72"/>
  <c r="G101" i="72"/>
  <c r="G100" i="72"/>
  <c r="G99" i="72"/>
  <c r="G98" i="72"/>
  <c r="G96" i="72"/>
  <c r="G95" i="72"/>
  <c r="G94" i="72"/>
  <c r="G93" i="72"/>
  <c r="G92" i="72"/>
  <c r="G90" i="72"/>
  <c r="G89" i="72"/>
  <c r="G88" i="72"/>
  <c r="G87" i="72"/>
  <c r="G86" i="72"/>
  <c r="G84" i="72"/>
  <c r="G83" i="72"/>
  <c r="G82" i="72"/>
  <c r="G81" i="72"/>
  <c r="G80" i="72"/>
  <c r="F76" i="72"/>
  <c r="D76" i="72"/>
  <c r="G76" i="72" s="1"/>
  <c r="F75" i="72"/>
  <c r="D75" i="72"/>
  <c r="G75" i="72" s="1"/>
  <c r="F74" i="72"/>
  <c r="D74" i="72"/>
  <c r="G74" i="72" s="1"/>
  <c r="F73" i="72"/>
  <c r="D73" i="72"/>
  <c r="G73" i="72" s="1"/>
  <c r="F72" i="72"/>
  <c r="D72" i="72"/>
  <c r="G72" i="72" s="1"/>
  <c r="G70" i="72"/>
  <c r="G69" i="72"/>
  <c r="G68" i="72"/>
  <c r="G67" i="72"/>
  <c r="G66" i="72"/>
  <c r="G64" i="72"/>
  <c r="G63" i="72"/>
  <c r="G60" i="72"/>
  <c r="G58" i="72"/>
  <c r="G57" i="72"/>
  <c r="G56" i="72"/>
  <c r="G55" i="72"/>
  <c r="G54" i="72"/>
  <c r="G48" i="72"/>
  <c r="G47" i="72"/>
  <c r="G44" i="72"/>
  <c r="G43" i="72"/>
  <c r="G40" i="72"/>
  <c r="G39" i="72"/>
  <c r="G33" i="72"/>
  <c r="G30" i="72"/>
  <c r="G24" i="72"/>
  <c r="G19" i="72"/>
  <c r="F27" i="72"/>
  <c r="E21" i="72"/>
  <c r="E27" i="72" s="1"/>
  <c r="D21" i="72"/>
  <c r="G15" i="72"/>
  <c r="G13" i="72"/>
  <c r="G12" i="72"/>
  <c r="G7" i="72"/>
  <c r="G6" i="72"/>
  <c r="G8" i="72" l="1"/>
  <c r="G16" i="72"/>
  <c r="G14" i="72"/>
  <c r="D27" i="72"/>
  <c r="G27" i="72" s="1"/>
  <c r="G21" i="72"/>
  <c r="G34" i="72"/>
  <c r="G35" i="72"/>
  <c r="G148" i="72"/>
  <c r="E160" i="72"/>
  <c r="G152" i="72"/>
  <c r="D192" i="72"/>
  <c r="G184" i="72"/>
  <c r="E192" i="72"/>
  <c r="G185" i="72"/>
  <c r="D193" i="72"/>
  <c r="E193" i="72"/>
  <c r="G193" i="72"/>
  <c r="D34" i="71"/>
  <c r="F189" i="71"/>
  <c r="F189" i="70"/>
  <c r="F188" i="71"/>
  <c r="F185" i="71"/>
  <c r="F184" i="71"/>
  <c r="C193" i="71"/>
  <c r="C189" i="71"/>
  <c r="C185" i="71"/>
  <c r="C181" i="71"/>
  <c r="C177" i="71"/>
  <c r="C173" i="71"/>
  <c r="C169" i="71"/>
  <c r="C164" i="71"/>
  <c r="C8" i="70"/>
  <c r="G192" i="72" l="1"/>
  <c r="G160" i="72"/>
  <c r="G115" i="71"/>
  <c r="F35" i="71"/>
  <c r="F16" i="71"/>
  <c r="F8" i="71"/>
  <c r="E189" i="71"/>
  <c r="E177" i="71"/>
  <c r="E173" i="71"/>
  <c r="E169" i="71"/>
  <c r="E164" i="71"/>
  <c r="E133" i="71"/>
  <c r="E48" i="71"/>
  <c r="E35" i="71"/>
  <c r="E16" i="71"/>
  <c r="E8" i="71"/>
  <c r="D35" i="71"/>
  <c r="D16" i="71"/>
  <c r="D8" i="71"/>
  <c r="C160" i="71"/>
  <c r="C159" i="71"/>
  <c r="G33" i="71"/>
  <c r="G34" i="71"/>
  <c r="G35" i="71"/>
  <c r="D185" i="71"/>
  <c r="E184" i="71"/>
  <c r="D184" i="71"/>
  <c r="G181" i="71"/>
  <c r="G180" i="71"/>
  <c r="G177" i="71"/>
  <c r="G176" i="71"/>
  <c r="G173" i="71"/>
  <c r="G172" i="71"/>
  <c r="E185" i="71"/>
  <c r="G169" i="71"/>
  <c r="G168" i="71"/>
  <c r="G164" i="71"/>
  <c r="G163" i="71"/>
  <c r="F160" i="71"/>
  <c r="F193" i="71" s="1"/>
  <c r="D160" i="71"/>
  <c r="F159" i="71"/>
  <c r="F192" i="71" s="1"/>
  <c r="E159" i="71"/>
  <c r="D159" i="71"/>
  <c r="G159" i="71"/>
  <c r="G156" i="71"/>
  <c r="G155" i="71"/>
  <c r="E152" i="71"/>
  <c r="G151" i="71"/>
  <c r="G147" i="71"/>
  <c r="G141" i="71"/>
  <c r="G138" i="71"/>
  <c r="G137" i="71"/>
  <c r="G133" i="71"/>
  <c r="G130" i="71"/>
  <c r="G129" i="71"/>
  <c r="G126" i="71"/>
  <c r="G124" i="71"/>
  <c r="G121" i="71"/>
  <c r="G120" i="71"/>
  <c r="G119" i="71"/>
  <c r="G117" i="71"/>
  <c r="G116" i="71"/>
  <c r="G112" i="71"/>
  <c r="G111" i="71"/>
  <c r="G110" i="71"/>
  <c r="G108" i="71"/>
  <c r="G107" i="71"/>
  <c r="G106" i="71"/>
  <c r="D102" i="71"/>
  <c r="G102" i="71" s="1"/>
  <c r="D101" i="71"/>
  <c r="G101" i="71" s="1"/>
  <c r="G100" i="71"/>
  <c r="G99" i="71"/>
  <c r="G98" i="71"/>
  <c r="G96" i="71"/>
  <c r="G95" i="71"/>
  <c r="G94" i="71"/>
  <c r="G93" i="71"/>
  <c r="G92" i="71"/>
  <c r="G90" i="71"/>
  <c r="G89" i="71"/>
  <c r="G88" i="71"/>
  <c r="G87" i="71"/>
  <c r="G86" i="71"/>
  <c r="G84" i="71"/>
  <c r="G83" i="71"/>
  <c r="G82" i="71"/>
  <c r="G81" i="71"/>
  <c r="G80" i="71"/>
  <c r="F76" i="71"/>
  <c r="E76" i="71"/>
  <c r="D76" i="71"/>
  <c r="G76" i="71" s="1"/>
  <c r="F75" i="71"/>
  <c r="E75" i="71"/>
  <c r="D75" i="71"/>
  <c r="G75" i="71" s="1"/>
  <c r="F74" i="71"/>
  <c r="D74" i="71"/>
  <c r="G74" i="71" s="1"/>
  <c r="F73" i="71"/>
  <c r="E73" i="71"/>
  <c r="D73" i="71"/>
  <c r="G73" i="71" s="1"/>
  <c r="F72" i="71"/>
  <c r="E72" i="71"/>
  <c r="D72" i="71"/>
  <c r="G72" i="71" s="1"/>
  <c r="G70" i="71"/>
  <c r="G69" i="71"/>
  <c r="G68" i="71"/>
  <c r="G67" i="71"/>
  <c r="G66" i="71"/>
  <c r="G64" i="71"/>
  <c r="G63" i="71"/>
  <c r="G60" i="71"/>
  <c r="G58" i="71"/>
  <c r="G57" i="71"/>
  <c r="G56" i="71"/>
  <c r="G55" i="71"/>
  <c r="G54" i="71"/>
  <c r="G48" i="71"/>
  <c r="G47" i="71"/>
  <c r="G44" i="71"/>
  <c r="G43" i="71"/>
  <c r="G40" i="71"/>
  <c r="G39" i="71"/>
  <c r="G24" i="71"/>
  <c r="G19" i="71"/>
  <c r="F21" i="71"/>
  <c r="F27" i="71" s="1"/>
  <c r="E21" i="71"/>
  <c r="E27" i="71" s="1"/>
  <c r="D21" i="71"/>
  <c r="G15" i="71"/>
  <c r="G13" i="71"/>
  <c r="G12" i="71"/>
  <c r="G7" i="71"/>
  <c r="G6" i="71"/>
  <c r="G8" i="71" l="1"/>
  <c r="G16" i="71"/>
  <c r="G14" i="71"/>
  <c r="D27" i="71"/>
  <c r="G21" i="71"/>
  <c r="G148" i="71"/>
  <c r="E160" i="71"/>
  <c r="G152" i="71"/>
  <c r="E193" i="71"/>
  <c r="D192" i="71"/>
  <c r="G184" i="71"/>
  <c r="G185" i="71"/>
  <c r="D193" i="71"/>
  <c r="E192" i="71"/>
  <c r="G188" i="71"/>
  <c r="G189" i="71"/>
  <c r="G193" i="71"/>
  <c r="E189" i="70"/>
  <c r="E188" i="70"/>
  <c r="E185" i="70"/>
  <c r="E184" i="70"/>
  <c r="F184" i="69"/>
  <c r="F185" i="69"/>
  <c r="F188" i="69"/>
  <c r="F189" i="69"/>
  <c r="F76" i="70"/>
  <c r="F75" i="70"/>
  <c r="F74" i="70"/>
  <c r="F73" i="70"/>
  <c r="F72" i="70"/>
  <c r="F35" i="70"/>
  <c r="F16" i="70"/>
  <c r="F21" i="70" s="1"/>
  <c r="F27" i="70" s="1"/>
  <c r="F8" i="70"/>
  <c r="C193" i="70"/>
  <c r="C189" i="70"/>
  <c r="C185" i="70"/>
  <c r="C181" i="70"/>
  <c r="C177" i="70"/>
  <c r="C173" i="70"/>
  <c r="C169" i="70"/>
  <c r="C164" i="70"/>
  <c r="C148" i="70"/>
  <c r="C48" i="70"/>
  <c r="C44" i="70"/>
  <c r="C40" i="70"/>
  <c r="C35" i="70"/>
  <c r="C14" i="70"/>
  <c r="C16" i="70" s="1"/>
  <c r="D34" i="70"/>
  <c r="D159" i="70"/>
  <c r="D160" i="70"/>
  <c r="D76" i="70"/>
  <c r="D75" i="70"/>
  <c r="D74" i="70"/>
  <c r="D73" i="70"/>
  <c r="D72" i="70"/>
  <c r="D35" i="70"/>
  <c r="D16" i="70"/>
  <c r="D21" i="70" s="1"/>
  <c r="D27" i="70" s="1"/>
  <c r="D8" i="70"/>
  <c r="E193" i="70"/>
  <c r="E192" i="70"/>
  <c r="E177" i="70"/>
  <c r="E173" i="70"/>
  <c r="E169" i="70"/>
  <c r="E164" i="70"/>
  <c r="E160" i="70"/>
  <c r="E159" i="70"/>
  <c r="E152" i="70"/>
  <c r="E133" i="70"/>
  <c r="E76" i="70"/>
  <c r="E75" i="70"/>
  <c r="E73" i="70"/>
  <c r="E72" i="70"/>
  <c r="E48" i="70"/>
  <c r="E35" i="70"/>
  <c r="E16" i="70"/>
  <c r="E21" i="70" s="1"/>
  <c r="E27" i="70" s="1"/>
  <c r="E8" i="70"/>
  <c r="G189" i="70"/>
  <c r="G188" i="70"/>
  <c r="D185" i="70"/>
  <c r="D184" i="70"/>
  <c r="G181" i="70"/>
  <c r="G180" i="70"/>
  <c r="G177" i="70"/>
  <c r="G176" i="70"/>
  <c r="G173" i="70"/>
  <c r="G172" i="70"/>
  <c r="G169" i="70"/>
  <c r="G168" i="70"/>
  <c r="G164" i="70"/>
  <c r="G163" i="70"/>
  <c r="F160" i="70"/>
  <c r="F193" i="70" s="1"/>
  <c r="F159" i="70"/>
  <c r="F192" i="70" s="1"/>
  <c r="C159" i="70"/>
  <c r="G159" i="70" s="1"/>
  <c r="G156" i="70"/>
  <c r="G155" i="70"/>
  <c r="G151" i="70"/>
  <c r="G147" i="70"/>
  <c r="G141" i="70"/>
  <c r="G138" i="70"/>
  <c r="G137" i="70"/>
  <c r="G133" i="70"/>
  <c r="G130" i="70"/>
  <c r="G129" i="70"/>
  <c r="G126" i="70"/>
  <c r="G124" i="70"/>
  <c r="G121" i="70"/>
  <c r="G120" i="70"/>
  <c r="G119" i="70"/>
  <c r="G117" i="70"/>
  <c r="G116" i="70"/>
  <c r="G115" i="70"/>
  <c r="G112" i="70"/>
  <c r="G111" i="70"/>
  <c r="G110" i="70"/>
  <c r="G108" i="70"/>
  <c r="G107" i="70"/>
  <c r="G106" i="70"/>
  <c r="D102" i="70"/>
  <c r="G102" i="70" s="1"/>
  <c r="D101" i="70"/>
  <c r="G101" i="70" s="1"/>
  <c r="G100" i="70"/>
  <c r="G99" i="70"/>
  <c r="G98" i="70"/>
  <c r="G96" i="70"/>
  <c r="G95" i="70"/>
  <c r="G94" i="70"/>
  <c r="G93" i="70"/>
  <c r="G92" i="70"/>
  <c r="G90" i="70"/>
  <c r="G89" i="70"/>
  <c r="G88" i="70"/>
  <c r="G87" i="70"/>
  <c r="G86" i="70"/>
  <c r="G84" i="70"/>
  <c r="G83" i="70"/>
  <c r="G82" i="70"/>
  <c r="G81" i="70"/>
  <c r="G80" i="70"/>
  <c r="G76" i="70"/>
  <c r="G75" i="70"/>
  <c r="G74" i="70"/>
  <c r="G73" i="70"/>
  <c r="G72" i="70"/>
  <c r="G70" i="70"/>
  <c r="G69" i="70"/>
  <c r="G68" i="70"/>
  <c r="G67" i="70"/>
  <c r="G66" i="70"/>
  <c r="G64" i="70"/>
  <c r="G63" i="70"/>
  <c r="G60" i="70"/>
  <c r="G58" i="70"/>
  <c r="G57" i="70"/>
  <c r="G56" i="70"/>
  <c r="G55" i="70"/>
  <c r="G54" i="70"/>
  <c r="G48" i="70"/>
  <c r="G47" i="70"/>
  <c r="G44" i="70"/>
  <c r="G43" i="70"/>
  <c r="G40" i="70"/>
  <c r="G39" i="70"/>
  <c r="G33" i="70"/>
  <c r="G30" i="70"/>
  <c r="G24" i="70"/>
  <c r="G19" i="70"/>
  <c r="G15" i="70"/>
  <c r="G13" i="70"/>
  <c r="G12" i="70"/>
  <c r="G7" i="70"/>
  <c r="G6" i="70"/>
  <c r="G27" i="71" l="1"/>
  <c r="G30" i="71"/>
  <c r="G192" i="71"/>
  <c r="G160" i="71"/>
  <c r="G8" i="70"/>
  <c r="G16" i="70"/>
  <c r="G14" i="70"/>
  <c r="G21" i="70"/>
  <c r="G27" i="70"/>
  <c r="G34" i="70"/>
  <c r="G35" i="70"/>
  <c r="C160" i="70"/>
  <c r="G148" i="70"/>
  <c r="G152" i="70"/>
  <c r="D192" i="70"/>
  <c r="G184" i="70"/>
  <c r="G185" i="70"/>
  <c r="D193" i="70"/>
  <c r="G193" i="70"/>
  <c r="F184" i="68"/>
  <c r="F185" i="68"/>
  <c r="G192" i="70" l="1"/>
  <c r="G160" i="70"/>
  <c r="E189" i="69"/>
  <c r="E185" i="69"/>
  <c r="E193" i="69" s="1"/>
  <c r="E184" i="69"/>
  <c r="E177" i="69"/>
  <c r="E173" i="69"/>
  <c r="E169" i="69"/>
  <c r="E164" i="69"/>
  <c r="E160" i="69"/>
  <c r="E159" i="69"/>
  <c r="E192" i="69" s="1"/>
  <c r="E152" i="69"/>
  <c r="E133" i="69"/>
  <c r="E102" i="69"/>
  <c r="E101" i="69"/>
  <c r="E76" i="69"/>
  <c r="E75" i="69"/>
  <c r="E73" i="69"/>
  <c r="E72" i="69"/>
  <c r="E48" i="69"/>
  <c r="E35" i="69"/>
  <c r="E16" i="69"/>
  <c r="E21" i="69" s="1"/>
  <c r="E27" i="69" s="1"/>
  <c r="E8" i="69"/>
  <c r="F192" i="68" l="1"/>
  <c r="F193" i="68"/>
  <c r="F160" i="69"/>
  <c r="F159" i="69"/>
  <c r="F76" i="69"/>
  <c r="F75" i="69"/>
  <c r="F74" i="69"/>
  <c r="F73" i="69"/>
  <c r="F72" i="69"/>
  <c r="F35" i="69"/>
  <c r="F16" i="69"/>
  <c r="F21" i="69" s="1"/>
  <c r="F27" i="69" s="1"/>
  <c r="F8" i="69"/>
  <c r="C193" i="69"/>
  <c r="C189" i="69"/>
  <c r="C185" i="69"/>
  <c r="C181" i="69"/>
  <c r="C177" i="69"/>
  <c r="C173" i="69"/>
  <c r="C169" i="69"/>
  <c r="C164" i="69"/>
  <c r="C159" i="69"/>
  <c r="C148" i="69"/>
  <c r="C160" i="69" s="1"/>
  <c r="C48" i="69"/>
  <c r="C44" i="69"/>
  <c r="C40" i="69"/>
  <c r="C35" i="69"/>
  <c r="C14" i="69"/>
  <c r="C16" i="69" s="1"/>
  <c r="C8" i="69"/>
  <c r="D34" i="69"/>
  <c r="D185" i="69"/>
  <c r="D184" i="69"/>
  <c r="D160" i="69"/>
  <c r="D159" i="69"/>
  <c r="D102" i="69"/>
  <c r="D101" i="69"/>
  <c r="D76" i="69"/>
  <c r="D75" i="69"/>
  <c r="D74" i="69"/>
  <c r="D73" i="69"/>
  <c r="D72" i="69"/>
  <c r="D35" i="69"/>
  <c r="D27" i="69"/>
  <c r="D16" i="69"/>
  <c r="D8" i="69"/>
  <c r="G181" i="69"/>
  <c r="G180" i="69"/>
  <c r="G176" i="69"/>
  <c r="G173" i="69"/>
  <c r="G172" i="69"/>
  <c r="G169" i="69"/>
  <c r="G168" i="69"/>
  <c r="G164" i="69"/>
  <c r="G163" i="69"/>
  <c r="G159" i="69"/>
  <c r="G156" i="69"/>
  <c r="G155" i="69"/>
  <c r="G151" i="69"/>
  <c r="G148" i="69"/>
  <c r="G147" i="69"/>
  <c r="G141" i="69"/>
  <c r="G138" i="69"/>
  <c r="G137" i="69"/>
  <c r="G133" i="69"/>
  <c r="G130" i="69"/>
  <c r="G129" i="69"/>
  <c r="G126" i="69"/>
  <c r="G124" i="69"/>
  <c r="G121" i="69"/>
  <c r="G120" i="69"/>
  <c r="G119" i="69"/>
  <c r="G117" i="69"/>
  <c r="G116" i="69"/>
  <c r="G115" i="69"/>
  <c r="G112" i="69"/>
  <c r="G111" i="69"/>
  <c r="G110" i="69"/>
  <c r="G108" i="69"/>
  <c r="G107" i="69"/>
  <c r="G106" i="69"/>
  <c r="G102" i="69"/>
  <c r="G101" i="69"/>
  <c r="G100" i="69"/>
  <c r="G99" i="69"/>
  <c r="G98" i="69"/>
  <c r="G96" i="69"/>
  <c r="G95" i="69"/>
  <c r="G94" i="69"/>
  <c r="G93" i="69"/>
  <c r="G92" i="69"/>
  <c r="G90" i="69"/>
  <c r="G89" i="69"/>
  <c r="G88" i="69"/>
  <c r="G87" i="69"/>
  <c r="G86" i="69"/>
  <c r="G84" i="69"/>
  <c r="G83" i="69"/>
  <c r="G82" i="69"/>
  <c r="G81" i="69"/>
  <c r="G80" i="69"/>
  <c r="G76" i="69"/>
  <c r="G75" i="69"/>
  <c r="G74" i="69"/>
  <c r="G73" i="69"/>
  <c r="G72" i="69"/>
  <c r="G70" i="69"/>
  <c r="G69" i="69"/>
  <c r="G68" i="69"/>
  <c r="G67" i="69"/>
  <c r="G66" i="69"/>
  <c r="G64" i="69"/>
  <c r="G63" i="69"/>
  <c r="G60" i="69"/>
  <c r="G58" i="69"/>
  <c r="G57" i="69"/>
  <c r="G56" i="69"/>
  <c r="G55" i="69"/>
  <c r="G54" i="69"/>
  <c r="G48" i="69"/>
  <c r="G47" i="69"/>
  <c r="G44" i="69"/>
  <c r="G43" i="69"/>
  <c r="G40" i="69"/>
  <c r="G39" i="69"/>
  <c r="G35" i="69"/>
  <c r="G34" i="69"/>
  <c r="G33" i="69"/>
  <c r="G30" i="69"/>
  <c r="G24" i="69"/>
  <c r="G19" i="69"/>
  <c r="G15" i="69"/>
  <c r="G13" i="69"/>
  <c r="G12" i="69"/>
  <c r="G8" i="69"/>
  <c r="G7" i="69"/>
  <c r="G6" i="69"/>
  <c r="D192" i="69" l="1"/>
  <c r="D193" i="69"/>
  <c r="F193" i="69"/>
  <c r="G14" i="69"/>
  <c r="G160" i="69"/>
  <c r="G152" i="69"/>
  <c r="G185" i="69"/>
  <c r="G177" i="69"/>
  <c r="G184" i="69"/>
  <c r="G193" i="69"/>
  <c r="G189" i="69"/>
  <c r="E189" i="68"/>
  <c r="E185" i="68"/>
  <c r="E184" i="68"/>
  <c r="E177" i="68"/>
  <c r="E173" i="68"/>
  <c r="E169" i="68"/>
  <c r="E164" i="68"/>
  <c r="E160" i="68"/>
  <c r="E159" i="68"/>
  <c r="E152" i="68"/>
  <c r="E133" i="68"/>
  <c r="E102" i="68"/>
  <c r="E101" i="68"/>
  <c r="E76" i="68"/>
  <c r="E75" i="68"/>
  <c r="E73" i="68"/>
  <c r="E72" i="68"/>
  <c r="E48" i="68"/>
  <c r="E35" i="68"/>
  <c r="E14" i="68"/>
  <c r="E16" i="68" s="1"/>
  <c r="E21" i="68" s="1"/>
  <c r="E27" i="68" s="1"/>
  <c r="E8" i="68"/>
  <c r="G188" i="69" l="1"/>
  <c r="F192" i="69"/>
  <c r="G192" i="69" s="1"/>
  <c r="G16" i="69"/>
  <c r="E192" i="68"/>
  <c r="E193" i="68"/>
  <c r="D34" i="68"/>
  <c r="G27" i="69" l="1"/>
  <c r="G21" i="69"/>
  <c r="G189" i="68"/>
  <c r="G188" i="68"/>
  <c r="G193" i="68"/>
  <c r="G185" i="68"/>
  <c r="G192" i="68"/>
  <c r="G184" i="68"/>
  <c r="G181" i="68"/>
  <c r="G180" i="68"/>
  <c r="G177" i="68"/>
  <c r="G176" i="68"/>
  <c r="G173" i="68"/>
  <c r="G172" i="68"/>
  <c r="G169" i="68"/>
  <c r="G168" i="68"/>
  <c r="G164" i="68"/>
  <c r="G163" i="68"/>
  <c r="G160" i="68"/>
  <c r="G159" i="68"/>
  <c r="G156" i="68"/>
  <c r="G155" i="68"/>
  <c r="G152" i="68"/>
  <c r="G151" i="68"/>
  <c r="G148" i="68"/>
  <c r="G147" i="68"/>
  <c r="G141" i="68"/>
  <c r="G138" i="68"/>
  <c r="G137" i="68"/>
  <c r="G133" i="68"/>
  <c r="G130" i="68"/>
  <c r="G129" i="68"/>
  <c r="G126" i="68"/>
  <c r="G124" i="68"/>
  <c r="G121" i="68"/>
  <c r="G120" i="68"/>
  <c r="G119" i="68"/>
  <c r="G117" i="68"/>
  <c r="G116" i="68"/>
  <c r="G115" i="68"/>
  <c r="G112" i="68"/>
  <c r="G111" i="68"/>
  <c r="G110" i="68"/>
  <c r="G108" i="68"/>
  <c r="G107" i="68"/>
  <c r="G106" i="68"/>
  <c r="G102" i="68"/>
  <c r="G101" i="68"/>
  <c r="G100" i="68"/>
  <c r="G99" i="68"/>
  <c r="G98" i="68"/>
  <c r="G96" i="68"/>
  <c r="G95" i="68"/>
  <c r="G94" i="68"/>
  <c r="G93" i="68"/>
  <c r="G92" i="68"/>
  <c r="G90" i="68"/>
  <c r="G89" i="68"/>
  <c r="G88" i="68"/>
  <c r="G87" i="68"/>
  <c r="G86" i="68"/>
  <c r="G84" i="68"/>
  <c r="G83" i="68"/>
  <c r="G82" i="68"/>
  <c r="G81" i="68"/>
  <c r="G80" i="68"/>
  <c r="G76" i="68"/>
  <c r="G75" i="68"/>
  <c r="G74" i="68"/>
  <c r="G73" i="68"/>
  <c r="G72" i="68"/>
  <c r="G70" i="68"/>
  <c r="G69" i="68"/>
  <c r="G68" i="68"/>
  <c r="G67" i="68"/>
  <c r="G66" i="68"/>
  <c r="G64" i="68"/>
  <c r="G63" i="68"/>
  <c r="G60" i="68"/>
  <c r="G58" i="68"/>
  <c r="G57" i="68"/>
  <c r="G56" i="68"/>
  <c r="G55" i="68"/>
  <c r="G54" i="68"/>
  <c r="G48" i="68"/>
  <c r="G47" i="68"/>
  <c r="G44" i="68"/>
  <c r="G43" i="68"/>
  <c r="G40" i="68"/>
  <c r="G39" i="68"/>
  <c r="G35" i="68"/>
  <c r="G34" i="68"/>
  <c r="G33" i="68"/>
  <c r="G30" i="68"/>
  <c r="G27" i="68"/>
  <c r="G24" i="68"/>
  <c r="G21" i="68"/>
  <c r="G19" i="68"/>
  <c r="G16" i="68"/>
  <c r="G15" i="68"/>
  <c r="G14" i="68"/>
  <c r="G13" i="68"/>
  <c r="G12" i="68"/>
  <c r="G8" i="68"/>
  <c r="G7" i="68"/>
  <c r="G6" i="68"/>
</calcChain>
</file>

<file path=xl/sharedStrings.xml><?xml version="1.0" encoding="utf-8"?>
<sst xmlns="http://schemas.openxmlformats.org/spreadsheetml/2006/main" count="1980" uniqueCount="112">
  <si>
    <t xml:space="preserve"> </t>
  </si>
  <si>
    <t>CCAF</t>
  </si>
  <si>
    <t>Los Andes</t>
  </si>
  <si>
    <t>La Araucana</t>
  </si>
  <si>
    <t>18 de Septiembre</t>
  </si>
  <si>
    <t>Los Héroes</t>
  </si>
  <si>
    <t>Total</t>
  </si>
  <si>
    <t>I. Información Poblacional</t>
  </si>
  <si>
    <t>Empresas Afiliadas</t>
  </si>
  <si>
    <t>N° Empresas Privadas</t>
  </si>
  <si>
    <t>N° Empresas Públicas</t>
  </si>
  <si>
    <t>Total Empresas Afiliadas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</si>
  <si>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</si>
  <si>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</si>
  <si>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</si>
  <si>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</si>
  <si>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</si>
  <si>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</si>
  <si>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</si>
  <si>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</si>
  <si>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</si>
  <si>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</si>
  <si>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</si>
  <si>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</si>
  <si>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</si>
  <si>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</si>
  <si>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</si>
  <si>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</si>
  <si>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</si>
  <si>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</si>
  <si>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</si>
  <si>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</si>
  <si>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</si>
  <si>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</si>
  <si>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</si>
  <si>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</si>
  <si>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</si>
  <si>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</si>
  <si>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</si>
  <si>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</si>
  <si>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</si>
  <si>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</si>
  <si>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</si>
  <si>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</si>
  <si>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</si>
  <si>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</si>
  <si>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</si>
  <si>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</si>
  <si>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</si>
  <si>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Monto de Créditos Cartera Vigente (MM$) (*)</t>
  </si>
  <si>
    <t>Trabajadores Independientes</t>
  </si>
  <si>
    <t>Pensionados</t>
  </si>
  <si>
    <t>Total Crédito Social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</si>
  <si>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</si>
  <si>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</si>
  <si>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</si>
  <si>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</si>
  <si>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</si>
  <si>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</si>
  <si>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</si>
  <si>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</si>
  <si>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</si>
  <si>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</si>
  <si>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</si>
  <si>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</si>
  <si>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</si>
  <si>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</si>
  <si>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</si>
  <si>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</si>
  <si>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</si>
  <si>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</si>
  <si>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</si>
  <si>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</si>
  <si>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</si>
  <si>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</si>
  <si>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</si>
  <si>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Venta de Bonos Fonasa</t>
  </si>
  <si>
    <t>N° de Bonos vendidos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</si>
  <si>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</si>
  <si>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</si>
  <si>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</si>
  <si>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</si>
  <si>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</si>
  <si>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</si>
  <si>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</si>
  <si>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</si>
  <si>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</si>
  <si>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</si>
  <si>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</si>
  <si>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</si>
  <si>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</si>
  <si>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</si>
  <si>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</si>
  <si>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</si>
  <si>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</si>
  <si>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</si>
  <si>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</si>
  <si>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</si>
  <si>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</si>
  <si>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</si>
  <si>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</si>
  <si>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</si>
  <si>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</si>
  <si>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</si>
  <si>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</si>
  <si>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</si>
  <si>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</si>
  <si>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</si>
  <si>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</si>
  <si>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</si>
  <si>
    <t>(*) corresponde a la suma del saldo insoluto más intereses devengados del total de créditos vigentes o con mora menor a 12 meses que mantiene la C.C.A.F. a la fecha de corte</t>
  </si>
  <si>
    <t xml:space="preserve">Caja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</si>
</sst>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#,##0_ ;\-#,##0\ "/>
    <numFmt numFmtId="167" formatCode="0.0"/>
    <numFmt numFmtId="168" formatCode="#,##0.000"/>
    <numFmt numFmtId="169" formatCode="_-* #,##0_-;\-* #,##0_-;_-* &quot;-&quot;??_-;_-@_-"/>
    <numFmt numFmtId="170" formatCode="#,##0_ ;[Red]\-#,##0\ "/>
    <numFmt numFmtId="171" formatCode="_-* #,##0.0_-;\-* #,##0.0_-;_-* &quot;-&quot;??_-;_-@_-"/>
    <numFmt numFmtId="172" formatCode="#,##0.0"/>
    <numFmt numFmtId="173" formatCode="\$#,##0"/>
    <numFmt numFmtId="174" formatCode="_-* #,##0.0_-;\-* #,##0.0_-;_-* &quot;-&quot;_-;_-@_-"/>
    <numFmt numFmtId="175" formatCode="\$#,##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333333"/>
      <name val="Tahoma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000000"/>
      </right>
      <top style="thin">
        <color rgb="FF333399"/>
      </top>
      <bottom style="thin">
        <color rgb="FF333399"/>
      </bottom>
      <diagonal/>
    </border>
  </borders>
  <cellStyleXfs count="2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</cellStyleXfs>
  <cellXfs count="180">
    <xf numFmtId="0" fontId="0" fillId="0" borderId="0" xfId="0"/>
    <xf numFmtId="0" fontId="0" fillId="3" borderId="0" xfId="0" applyFill="1"/>
    <xf numFmtId="0" fontId="0" fillId="0" borderId="1" xfId="0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6" fillId="4" borderId="2" xfId="0" applyFont="1" applyFill="1" applyBorder="1" applyAlignment="1">
      <alignment horizontal="center"/>
    </xf>
    <xf numFmtId="16" fontId="6" fillId="4" borderId="2" xfId="0" applyNumberFormat="1" applyFont="1" applyFill="1" applyBorder="1" applyAlignment="1">
      <alignment horizontal="center"/>
    </xf>
    <xf numFmtId="3" fontId="0" fillId="3" borderId="0" xfId="0" applyNumberFormat="1" applyFill="1"/>
    <xf numFmtId="1" fontId="0" fillId="3" borderId="0" xfId="0" applyNumberFormat="1" applyFill="1"/>
    <xf numFmtId="0" fontId="5" fillId="5" borderId="4" xfId="0" applyFont="1" applyFill="1" applyBorder="1" applyAlignment="1"/>
    <xf numFmtId="0" fontId="5" fillId="5" borderId="5" xfId="0" applyFont="1" applyFill="1" applyBorder="1" applyAlignment="1"/>
    <xf numFmtId="4" fontId="0" fillId="0" borderId="2" xfId="0" applyNumberFormat="1" applyFill="1" applyBorder="1"/>
    <xf numFmtId="0" fontId="0" fillId="0" borderId="3" xfId="0" applyBorder="1" applyAlignment="1"/>
    <xf numFmtId="3" fontId="0" fillId="3" borderId="2" xfId="0" applyNumberFormat="1" applyFill="1" applyBorder="1"/>
    <xf numFmtId="2" fontId="0" fillId="0" borderId="2" xfId="0" applyNumberFormat="1" applyBorder="1"/>
    <xf numFmtId="0" fontId="0" fillId="0" borderId="2" xfId="0" applyFill="1" applyBorder="1"/>
    <xf numFmtId="3" fontId="6" fillId="4" borderId="2" xfId="0" applyNumberFormat="1" applyFont="1" applyFill="1" applyBorder="1" applyAlignment="1">
      <alignment horizontal="center"/>
    </xf>
    <xf numFmtId="0" fontId="0" fillId="3" borderId="2" xfId="0" applyFill="1" applyBorder="1"/>
    <xf numFmtId="3" fontId="0" fillId="3" borderId="3" xfId="0" applyNumberFormat="1" applyFill="1" applyBorder="1"/>
    <xf numFmtId="0" fontId="0" fillId="6" borderId="2" xfId="0" applyFill="1" applyBorder="1"/>
    <xf numFmtId="3" fontId="0" fillId="6" borderId="2" xfId="0" applyNumberFormat="1" applyFill="1" applyBorder="1"/>
    <xf numFmtId="0" fontId="0" fillId="0" borderId="2" xfId="0" applyBorder="1" applyAlignment="1">
      <alignment horizontal="right"/>
    </xf>
    <xf numFmtId="0" fontId="0" fillId="6" borderId="2" xfId="0" applyFill="1" applyBorder="1" applyAlignment="1">
      <alignment horizontal="right"/>
    </xf>
    <xf numFmtId="4" fontId="0" fillId="6" borderId="2" xfId="0" applyNumberFormat="1" applyFill="1" applyBorder="1"/>
    <xf numFmtId="0" fontId="0" fillId="0" borderId="0" xfId="0" applyFill="1"/>
    <xf numFmtId="0" fontId="5" fillId="5" borderId="6" xfId="0" applyFont="1" applyFill="1" applyBorder="1" applyAlignment="1"/>
    <xf numFmtId="0" fontId="0" fillId="0" borderId="2" xfId="0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6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3" fillId="6" borderId="2" xfId="1" applyNumberFormat="1" applyFont="1" applyFill="1" applyBorder="1" applyAlignment="1">
      <alignment horizontal="right"/>
    </xf>
    <xf numFmtId="0" fontId="3" fillId="0" borderId="2" xfId="1" applyNumberFormat="1" applyFont="1" applyFill="1" applyBorder="1" applyAlignment="1">
      <alignment horizontal="right"/>
    </xf>
    <xf numFmtId="1" fontId="0" fillId="0" borderId="2" xfId="0" applyNumberFormat="1" applyBorder="1"/>
    <xf numFmtId="3" fontId="0" fillId="2" borderId="2" xfId="0" applyNumberFormat="1" applyFill="1" applyBorder="1"/>
    <xf numFmtId="0" fontId="0" fillId="0" borderId="2" xfId="0" applyBorder="1"/>
    <xf numFmtId="0" fontId="7" fillId="0" borderId="2" xfId="0" applyFont="1" applyBorder="1"/>
    <xf numFmtId="1" fontId="0" fillId="0" borderId="2" xfId="0" applyNumberFormat="1" applyFill="1" applyBorder="1"/>
    <xf numFmtId="3" fontId="0" fillId="0" borderId="2" xfId="0" applyNumberFormat="1" applyFill="1" applyBorder="1"/>
    <xf numFmtId="4" fontId="0" fillId="0" borderId="2" xfId="0" applyNumberFormat="1" applyBorder="1"/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166" fontId="0" fillId="0" borderId="2" xfId="0" applyNumberFormat="1" applyBorder="1"/>
    <xf numFmtId="2" fontId="7" fillId="0" borderId="2" xfId="0" applyNumberFormat="1" applyFont="1" applyBorder="1"/>
    <xf numFmtId="170" fontId="0" fillId="6" borderId="2" xfId="0" applyNumberFormat="1" applyFill="1" applyBorder="1"/>
    <xf numFmtId="166" fontId="0" fillId="6" borderId="2" xfId="0" applyNumberFormat="1" applyFill="1" applyBorder="1"/>
    <xf numFmtId="4" fontId="7" fillId="0" borderId="2" xfId="0" applyNumberFormat="1" applyFont="1" applyBorder="1"/>
    <xf numFmtId="168" fontId="0" fillId="3" borderId="2" xfId="0" applyNumberFormat="1" applyFill="1" applyBorder="1" applyAlignment="1">
      <alignment horizontal="right"/>
    </xf>
    <xf numFmtId="2" fontId="0" fillId="0" borderId="2" xfId="0" applyNumberFormat="1" applyFill="1" applyBorder="1"/>
    <xf numFmtId="1" fontId="7" fillId="3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7" fontId="0" fillId="0" borderId="2" xfId="0" applyNumberFormat="1" applyFill="1" applyBorder="1"/>
    <xf numFmtId="1" fontId="3" fillId="0" borderId="2" xfId="2" applyNumberFormat="1" applyFont="1" applyBorder="1"/>
    <xf numFmtId="1" fontId="3" fillId="0" borderId="2" xfId="2" applyNumberFormat="1" applyFont="1" applyFill="1" applyBorder="1"/>
    <xf numFmtId="3" fontId="7" fillId="0" borderId="2" xfId="2" applyNumberFormat="1" applyFont="1" applyBorder="1"/>
    <xf numFmtId="3" fontId="3" fillId="0" borderId="2" xfId="2" applyNumberFormat="1" applyFont="1" applyFill="1" applyBorder="1"/>
    <xf numFmtId="3" fontId="7" fillId="0" borderId="3" xfId="0" applyNumberFormat="1" applyFont="1" applyBorder="1"/>
    <xf numFmtId="3" fontId="7" fillId="0" borderId="2" xfId="1" applyNumberFormat="1" applyFont="1" applyFill="1" applyBorder="1" applyAlignment="1">
      <alignment vertical="center"/>
    </xf>
    <xf numFmtId="3" fontId="3" fillId="3" borderId="2" xfId="1" applyNumberFormat="1" applyFont="1" applyFill="1" applyBorder="1"/>
    <xf numFmtId="4" fontId="3" fillId="3" borderId="2" xfId="1" applyNumberFormat="1" applyFont="1" applyFill="1" applyBorder="1"/>
    <xf numFmtId="3" fontId="0" fillId="10" borderId="2" xfId="0" applyNumberFormat="1" applyFill="1" applyBorder="1"/>
    <xf numFmtId="0" fontId="0" fillId="10" borderId="2" xfId="0" applyFill="1" applyBorder="1"/>
    <xf numFmtId="167" fontId="0" fillId="0" borderId="3" xfId="0" applyNumberFormat="1" applyBorder="1"/>
    <xf numFmtId="3" fontId="0" fillId="11" borderId="2" xfId="0" applyNumberFormat="1" applyFill="1" applyBorder="1"/>
    <xf numFmtId="0" fontId="3" fillId="3" borderId="2" xfId="2" applyNumberFormat="1" applyFont="1" applyFill="1" applyBorder="1"/>
    <xf numFmtId="3" fontId="3" fillId="0" borderId="2" xfId="2" applyNumberFormat="1" applyFont="1" applyBorder="1"/>
    <xf numFmtId="3" fontId="3" fillId="6" borderId="2" xfId="2" applyNumberFormat="1" applyFont="1" applyFill="1" applyBorder="1"/>
    <xf numFmtId="1" fontId="7" fillId="0" borderId="2" xfId="2" applyNumberFormat="1" applyFont="1" applyBorder="1"/>
    <xf numFmtId="3" fontId="8" fillId="0" borderId="2" xfId="0" applyNumberFormat="1" applyFont="1" applyBorder="1"/>
    <xf numFmtId="3" fontId="8" fillId="6" borderId="2" xfId="0" applyNumberFormat="1" applyFont="1" applyFill="1" applyBorder="1"/>
    <xf numFmtId="2" fontId="0" fillId="3" borderId="10" xfId="0" applyNumberFormat="1" applyFill="1" applyBorder="1"/>
    <xf numFmtId="2" fontId="0" fillId="0" borderId="5" xfId="0" applyNumberFormat="1" applyBorder="1"/>
    <xf numFmtId="0" fontId="0" fillId="3" borderId="10" xfId="0" applyFill="1" applyBorder="1"/>
    <xf numFmtId="3" fontId="0" fillId="0" borderId="2" xfId="0" applyNumberFormat="1" applyFill="1" applyBorder="1" applyAlignment="1">
      <alignment horizontal="right"/>
    </xf>
    <xf numFmtId="169" fontId="3" fillId="3" borderId="2" xfId="1" applyNumberFormat="1" applyFont="1" applyFill="1" applyBorder="1" applyAlignment="1">
      <alignment horizontal="right"/>
    </xf>
    <xf numFmtId="169" fontId="3" fillId="3" borderId="6" xfId="1" applyNumberFormat="1" applyFont="1" applyFill="1" applyBorder="1" applyAlignment="1">
      <alignment horizontal="right"/>
    </xf>
    <xf numFmtId="3" fontId="0" fillId="0" borderId="5" xfId="0" applyNumberFormat="1" applyFill="1" applyBorder="1"/>
    <xf numFmtId="4" fontId="0" fillId="0" borderId="5" xfId="0" applyNumberFormat="1" applyFill="1" applyBorder="1"/>
    <xf numFmtId="169" fontId="3" fillId="3" borderId="2" xfId="1" applyNumberFormat="1" applyFont="1" applyFill="1" applyBorder="1"/>
    <xf numFmtId="171" fontId="3" fillId="3" borderId="2" xfId="1" applyNumberFormat="1" applyFont="1" applyFill="1" applyBorder="1"/>
    <xf numFmtId="169" fontId="3" fillId="0" borderId="2" xfId="1" applyNumberFormat="1" applyFont="1" applyFill="1" applyBorder="1"/>
    <xf numFmtId="169" fontId="3" fillId="3" borderId="2" xfId="1" applyNumberFormat="1" applyFill="1" applyBorder="1" applyAlignment="1"/>
    <xf numFmtId="164" fontId="3" fillId="6" borderId="2" xfId="2" applyFont="1" applyFill="1" applyBorder="1"/>
    <xf numFmtId="0" fontId="7" fillId="0" borderId="2" xfId="2" applyNumberFormat="1" applyFont="1" applyBorder="1"/>
    <xf numFmtId="3" fontId="3" fillId="0" borderId="3" xfId="2" applyNumberFormat="1" applyFont="1" applyBorder="1"/>
    <xf numFmtId="3" fontId="0" fillId="0" borderId="3" xfId="0" applyNumberFormat="1" applyBorder="1"/>
    <xf numFmtId="3" fontId="0" fillId="0" borderId="10" xfId="0" applyNumberFormat="1" applyFill="1" applyBorder="1"/>
    <xf numFmtId="4" fontId="0" fillId="0" borderId="15" xfId="0" applyNumberFormat="1" applyFill="1" applyBorder="1"/>
    <xf numFmtId="3" fontId="0" fillId="3" borderId="2" xfId="0" applyNumberFormat="1" applyFill="1" applyBorder="1" applyAlignment="1">
      <alignment horizontal="right"/>
    </xf>
    <xf numFmtId="169" fontId="3" fillId="3" borderId="3" xfId="1" applyNumberFormat="1" applyFont="1" applyFill="1" applyBorder="1"/>
    <xf numFmtId="1" fontId="3" fillId="3" borderId="2" xfId="1" applyNumberFormat="1" applyFont="1" applyFill="1" applyBorder="1" applyAlignment="1">
      <alignment horizontal="right"/>
    </xf>
    <xf numFmtId="1" fontId="3" fillId="3" borderId="3" xfId="1" applyNumberFormat="1" applyFont="1" applyFill="1" applyBorder="1" applyAlignment="1">
      <alignment horizontal="right"/>
    </xf>
    <xf numFmtId="167" fontId="0" fillId="0" borderId="2" xfId="0" applyNumberFormat="1" applyBorder="1"/>
    <xf numFmtId="1" fontId="3" fillId="3" borderId="2" xfId="1" applyNumberFormat="1" applyFont="1" applyFill="1" applyBorder="1"/>
    <xf numFmtId="172" fontId="0" fillId="0" borderId="2" xfId="0" applyNumberFormat="1" applyBorder="1"/>
    <xf numFmtId="2" fontId="2" fillId="3" borderId="2" xfId="0" applyNumberFormat="1" applyFont="1" applyFill="1" applyBorder="1" applyAlignment="1">
      <alignment horizontal="right"/>
    </xf>
    <xf numFmtId="172" fontId="0" fillId="3" borderId="2" xfId="0" applyNumberFormat="1" applyFill="1" applyBorder="1" applyAlignment="1">
      <alignment horizontal="right"/>
    </xf>
    <xf numFmtId="0" fontId="3" fillId="6" borderId="2" xfId="2" applyNumberFormat="1" applyFont="1" applyFill="1" applyBorder="1"/>
    <xf numFmtId="3" fontId="0" fillId="3" borderId="10" xfId="0" applyNumberFormat="1" applyFill="1" applyBorder="1"/>
    <xf numFmtId="169" fontId="7" fillId="0" borderId="6" xfId="1" applyNumberFormat="1" applyFont="1" applyFill="1" applyBorder="1"/>
    <xf numFmtId="1" fontId="0" fillId="3" borderId="10" xfId="0" applyNumberFormat="1" applyFill="1" applyBorder="1"/>
    <xf numFmtId="3" fontId="0" fillId="0" borderId="18" xfId="0" applyNumberFormat="1" applyFill="1" applyBorder="1"/>
    <xf numFmtId="169" fontId="3" fillId="3" borderId="2" xfId="1" applyNumberFormat="1" applyFill="1" applyBorder="1" applyAlignment="1">
      <alignment horizontal="center"/>
    </xf>
    <xf numFmtId="173" fontId="3" fillId="0" borderId="2" xfId="2" applyNumberFormat="1" applyFont="1" applyFill="1" applyBorder="1"/>
    <xf numFmtId="1" fontId="3" fillId="6" borderId="2" xfId="2" applyNumberFormat="1" applyFont="1" applyFill="1" applyBorder="1"/>
    <xf numFmtId="164" fontId="3" fillId="6" borderId="2" xfId="2" applyNumberFormat="1" applyFont="1" applyFill="1" applyBorder="1"/>
    <xf numFmtId="2" fontId="3" fillId="0" borderId="2" xfId="23" applyNumberFormat="1" applyFont="1" applyBorder="1"/>
    <xf numFmtId="3" fontId="0" fillId="3" borderId="6" xfId="0" applyNumberFormat="1" applyFill="1" applyBorder="1" applyAlignment="1">
      <alignment horizontal="right"/>
    </xf>
    <xf numFmtId="2" fontId="3" fillId="0" borderId="2" xfId="2" applyNumberFormat="1" applyFont="1" applyBorder="1"/>
    <xf numFmtId="2" fontId="9" fillId="12" borderId="20" xfId="0" applyNumberFormat="1" applyFont="1" applyFill="1" applyBorder="1" applyAlignment="1">
      <alignment horizontal="right" vertical="center"/>
    </xf>
    <xf numFmtId="2" fontId="9" fillId="12" borderId="21" xfId="0" applyNumberFormat="1" applyFont="1" applyFill="1" applyBorder="1" applyAlignment="1">
      <alignment horizontal="right" vertical="center"/>
    </xf>
    <xf numFmtId="164" fontId="3" fillId="0" borderId="2" xfId="2" applyFont="1" applyFill="1" applyBorder="1"/>
    <xf numFmtId="164" fontId="3" fillId="3" borderId="2" xfId="2" applyFont="1" applyFill="1" applyBorder="1"/>
    <xf numFmtId="164" fontId="3" fillId="6" borderId="3" xfId="2" applyFont="1" applyFill="1" applyBorder="1" applyAlignment="1">
      <alignment horizontal="right"/>
    </xf>
    <xf numFmtId="41" fontId="3" fillId="0" borderId="2" xfId="2" applyNumberFormat="1" applyFont="1" applyBorder="1"/>
    <xf numFmtId="1" fontId="3" fillId="6" borderId="3" xfId="2" applyNumberFormat="1" applyFont="1" applyFill="1" applyBorder="1" applyAlignment="1">
      <alignment horizontal="right"/>
    </xf>
    <xf numFmtId="1" fontId="0" fillId="6" borderId="2" xfId="0" applyNumberFormat="1" applyFill="1" applyBorder="1"/>
    <xf numFmtId="167" fontId="3" fillId="3" borderId="2" xfId="1" applyNumberFormat="1" applyFont="1" applyFill="1" applyBorder="1"/>
    <xf numFmtId="3" fontId="3" fillId="0" borderId="2" xfId="1" applyNumberFormat="1" applyFont="1" applyFill="1" applyBorder="1"/>
    <xf numFmtId="172" fontId="3" fillId="0" borderId="2" xfId="2" applyNumberFormat="1" applyFont="1" applyFill="1" applyBorder="1"/>
    <xf numFmtId="3" fontId="10" fillId="0" borderId="2" xfId="0" applyNumberFormat="1" applyFont="1" applyBorder="1"/>
    <xf numFmtId="41" fontId="3" fillId="0" borderId="2" xfId="2" applyNumberFormat="1" applyFont="1" applyFill="1" applyBorder="1"/>
    <xf numFmtId="3" fontId="3" fillId="3" borderId="2" xfId="2" applyNumberFormat="1" applyFont="1" applyFill="1" applyBorder="1"/>
    <xf numFmtId="3" fontId="3" fillId="6" borderId="3" xfId="2" applyNumberFormat="1" applyFont="1" applyFill="1" applyBorder="1" applyAlignment="1">
      <alignment horizontal="right"/>
    </xf>
    <xf numFmtId="167" fontId="7" fillId="0" borderId="2" xfId="0" applyNumberFormat="1" applyFont="1" applyBorder="1" applyAlignment="1">
      <alignment horizontal="right"/>
    </xf>
    <xf numFmtId="2" fontId="0" fillId="0" borderId="3" xfId="0" applyNumberFormat="1" applyBorder="1"/>
    <xf numFmtId="0" fontId="3" fillId="0" borderId="2" xfId="2" applyNumberFormat="1" applyFont="1" applyFill="1" applyBorder="1"/>
    <xf numFmtId="41" fontId="0" fillId="0" borderId="2" xfId="0" applyNumberFormat="1" applyBorder="1" applyAlignment="1">
      <alignment horizontal="right"/>
    </xf>
    <xf numFmtId="174" fontId="3" fillId="6" borderId="2" xfId="2" applyNumberFormat="1" applyFont="1" applyFill="1" applyBorder="1"/>
    <xf numFmtId="10" fontId="3" fillId="0" borderId="2" xfId="23" applyNumberFormat="1" applyFont="1" applyBorder="1"/>
    <xf numFmtId="3" fontId="3" fillId="0" borderId="2" xfId="1" applyNumberFormat="1" applyBorder="1" applyAlignment="1">
      <alignment horizontal="right"/>
    </xf>
    <xf numFmtId="3" fontId="0" fillId="0" borderId="0" xfId="0" applyNumberFormat="1" applyBorder="1"/>
    <xf numFmtId="164" fontId="3" fillId="0" borderId="2" xfId="2" applyFont="1" applyBorder="1"/>
    <xf numFmtId="3" fontId="0" fillId="0" borderId="6" xfId="0" applyNumberFormat="1" applyBorder="1"/>
    <xf numFmtId="3" fontId="0" fillId="0" borderId="7" xfId="0" applyNumberFormat="1" applyBorder="1"/>
    <xf numFmtId="175" fontId="3" fillId="0" borderId="2" xfId="2" applyNumberFormat="1" applyFont="1" applyFill="1" applyBorder="1"/>
    <xf numFmtId="0" fontId="0" fillId="0" borderId="0" xfId="0" applyBorder="1" applyAlignment="1">
      <alignment horizont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left"/>
    </xf>
    <xf numFmtId="0" fontId="6" fillId="8" borderId="4" xfId="0" applyFont="1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5" fillId="5" borderId="2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7" borderId="2" xfId="0" applyFont="1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0" fillId="7" borderId="6" xfId="0" applyFont="1" applyFill="1" applyBorder="1" applyAlignment="1">
      <alignment horizontal="left"/>
    </xf>
    <xf numFmtId="0" fontId="0" fillId="7" borderId="4" xfId="0" applyFont="1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6" fillId="8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7" borderId="8" xfId="0" applyFill="1" applyBorder="1" applyAlignment="1">
      <alignment horizontal="left"/>
    </xf>
    <xf numFmtId="0" fontId="0" fillId="7" borderId="11" xfId="0" applyFont="1" applyFill="1" applyBorder="1" applyAlignment="1">
      <alignment horizontal="left"/>
    </xf>
    <xf numFmtId="0" fontId="0" fillId="7" borderId="12" xfId="0" applyFont="1" applyFill="1" applyBorder="1" applyAlignment="1">
      <alignment horizontal="left"/>
    </xf>
    <xf numFmtId="0" fontId="0" fillId="7" borderId="0" xfId="0" applyFont="1" applyFill="1" applyBorder="1" applyAlignment="1">
      <alignment horizontal="left"/>
    </xf>
    <xf numFmtId="0" fontId="0" fillId="3" borderId="8" xfId="0" applyFill="1" applyBorder="1" applyAlignment="1">
      <alignment horizontal="right"/>
    </xf>
    <xf numFmtId="0" fontId="5" fillId="5" borderId="17" xfId="0" applyFont="1" applyFill="1" applyBorder="1" applyAlignment="1">
      <alignment horizontal="left"/>
    </xf>
    <xf numFmtId="0" fontId="5" fillId="5" borderId="14" xfId="0" applyFont="1" applyFill="1" applyBorder="1" applyAlignment="1">
      <alignment horizontal="left"/>
    </xf>
    <xf numFmtId="0" fontId="5" fillId="5" borderId="18" xfId="0" applyFont="1" applyFill="1" applyBorder="1" applyAlignment="1">
      <alignment horizontal="left"/>
    </xf>
    <xf numFmtId="0" fontId="0" fillId="7" borderId="13" xfId="0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0" fillId="7" borderId="19" xfId="0" applyFill="1" applyBorder="1" applyAlignment="1">
      <alignment horizontal="left"/>
    </xf>
    <xf numFmtId="0" fontId="0" fillId="0" borderId="4" xfId="0" applyBorder="1" applyAlignment="1">
      <alignment horizontal="center"/>
    </xf>
  </cellXfs>
  <cellStyles count="24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9" xfId="22" xr:uid="{00000000-0005-0000-0000-000016000000}"/>
    <cellStyle name="Porcentaje" xfId="2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DFE96-5746-4F93-A93E-B606F5969B85}">
  <dimension ref="A1:BD197"/>
  <sheetViews>
    <sheetView topLeftCell="B175" zoomScaleNormal="100" workbookViewId="0">
      <selection activeCell="B186" sqref="B186:H186"/>
    </sheetView>
  </sheetViews>
  <sheetFormatPr baseColWidth="10" defaultColWidth="9.140625" defaultRowHeight="15" x14ac:dyDescent="0.25"/>
  <cols>
    <col min="1" max="1" width="11.425781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4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41">
        <v>56738</v>
      </c>
      <c r="D6" s="15">
        <v>8440</v>
      </c>
      <c r="E6" s="20">
        <v>10033</v>
      </c>
      <c r="F6" s="15">
        <v>10858</v>
      </c>
      <c r="G6" s="15">
        <f>+F6+E6+D6+C6</f>
        <v>86069</v>
      </c>
    </row>
    <row r="7" spans="1:7" x14ac:dyDescent="0.25">
      <c r="B7" s="36" t="s">
        <v>10</v>
      </c>
      <c r="C7" s="115">
        <v>525</v>
      </c>
      <c r="D7" s="15">
        <v>226</v>
      </c>
      <c r="E7" s="20">
        <v>11</v>
      </c>
      <c r="F7" s="15">
        <v>127</v>
      </c>
      <c r="G7" s="15">
        <f>+F7+E7+D7+C7</f>
        <v>889</v>
      </c>
    </row>
    <row r="8" spans="1:7" x14ac:dyDescent="0.25">
      <c r="B8" s="21" t="s">
        <v>11</v>
      </c>
      <c r="C8" s="30">
        <f>SUM(C6:C7)</f>
        <v>57263</v>
      </c>
      <c r="D8" s="30">
        <v>8666</v>
      </c>
      <c r="E8" s="30">
        <f>SUM(E6:E7)</f>
        <v>10044</v>
      </c>
      <c r="F8" s="30">
        <v>10985</v>
      </c>
      <c r="G8" s="30">
        <f>+F8+E8+D8+C8</f>
        <v>86958</v>
      </c>
    </row>
    <row r="9" spans="1:7" x14ac:dyDescent="0.25">
      <c r="B9" s="139"/>
      <c r="C9" s="139"/>
      <c r="D9" s="139"/>
      <c r="E9" s="139"/>
      <c r="F9" s="139"/>
      <c r="G9" s="13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998438</v>
      </c>
      <c r="D12" s="15">
        <v>154346</v>
      </c>
      <c r="E12" s="61">
        <v>58476</v>
      </c>
      <c r="F12" s="20">
        <v>0</v>
      </c>
      <c r="G12" s="20">
        <f>SUM(C12:F12)</f>
        <v>1211260</v>
      </c>
    </row>
    <row r="13" spans="1:7" x14ac:dyDescent="0.25">
      <c r="B13" s="19" t="s">
        <v>15</v>
      </c>
      <c r="C13" s="15">
        <v>2303348</v>
      </c>
      <c r="D13" s="15">
        <v>523431</v>
      </c>
      <c r="E13" s="61">
        <v>231884</v>
      </c>
      <c r="F13" s="20">
        <v>0</v>
      </c>
      <c r="G13" s="20">
        <f>SUM(C13:F13)</f>
        <v>3058663</v>
      </c>
    </row>
    <row r="14" spans="1:7" x14ac:dyDescent="0.25">
      <c r="B14" s="21" t="s">
        <v>16</v>
      </c>
      <c r="C14" s="22">
        <v>3301786</v>
      </c>
      <c r="D14" s="22">
        <v>928509</v>
      </c>
      <c r="E14" s="22">
        <f>SUM(E12:E13)</f>
        <v>290360</v>
      </c>
      <c r="F14" s="22">
        <v>379774</v>
      </c>
      <c r="G14" s="22">
        <f>SUM(C14:F14)</f>
        <v>4900429</v>
      </c>
    </row>
    <row r="15" spans="1:7" x14ac:dyDescent="0.25">
      <c r="B15" s="21" t="s">
        <v>17</v>
      </c>
      <c r="C15" s="22">
        <v>406548</v>
      </c>
      <c r="D15" s="22">
        <v>134469</v>
      </c>
      <c r="E15" s="22">
        <v>2736</v>
      </c>
      <c r="F15" s="22">
        <v>75205</v>
      </c>
      <c r="G15" s="22">
        <f>SUM(C15:F15)</f>
        <v>618958</v>
      </c>
    </row>
    <row r="16" spans="1:7" x14ac:dyDescent="0.25">
      <c r="B16" s="21" t="s">
        <v>18</v>
      </c>
      <c r="C16" s="22">
        <v>3708334</v>
      </c>
      <c r="D16" s="22">
        <v>1062978</v>
      </c>
      <c r="E16" s="22">
        <f>SUM(E14:E15)</f>
        <v>293096</v>
      </c>
      <c r="F16" s="22">
        <v>454979</v>
      </c>
      <c r="G16" s="22">
        <f>SUM(C16:F16)</f>
        <v>5519387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58">
        <v>3910</v>
      </c>
      <c r="D19" s="39">
        <v>2603</v>
      </c>
      <c r="E19" s="28">
        <v>0</v>
      </c>
      <c r="F19" s="28">
        <v>0</v>
      </c>
      <c r="G19" s="28">
        <f>SUM(C19:F19)</f>
        <v>6513</v>
      </c>
    </row>
    <row r="20" spans="2:8" x14ac:dyDescent="0.25">
      <c r="B20" s="152"/>
      <c r="C20" s="152"/>
      <c r="D20" s="152"/>
      <c r="E20" s="152"/>
      <c r="F20" s="152"/>
      <c r="G20" s="152"/>
    </row>
    <row r="21" spans="2:8" x14ac:dyDescent="0.25">
      <c r="B21" s="21" t="s">
        <v>21</v>
      </c>
      <c r="C21" s="22">
        <v>3712244</v>
      </c>
      <c r="D21" s="22">
        <v>1065581</v>
      </c>
      <c r="E21" s="22">
        <f>+E19+E16</f>
        <v>293096</v>
      </c>
      <c r="F21" s="22">
        <v>454979</v>
      </c>
      <c r="G21" s="22">
        <f>SUM(C21:F21)</f>
        <v>5525900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47">
        <v>421788</v>
      </c>
      <c r="D24" s="22">
        <v>239471</v>
      </c>
      <c r="E24" s="22">
        <v>138520</v>
      </c>
      <c r="F24" s="22">
        <v>657305</v>
      </c>
      <c r="G24" s="22">
        <f>SUM(C24:F24)</f>
        <v>1457084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47">
        <v>4134032</v>
      </c>
      <c r="D27" s="22">
        <v>1305052</v>
      </c>
      <c r="E27" s="22">
        <f>+E21+E24</f>
        <v>431616</v>
      </c>
      <c r="F27" s="22">
        <v>1112284</v>
      </c>
      <c r="G27" s="22">
        <f>SUM(C27:F27)</f>
        <v>6982984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46" t="s">
        <v>26</v>
      </c>
      <c r="C29" s="147"/>
      <c r="D29" s="147"/>
      <c r="E29" s="147"/>
      <c r="F29" s="147"/>
      <c r="G29" s="148"/>
    </row>
    <row r="30" spans="2:8" x14ac:dyDescent="0.25">
      <c r="B30" s="36" t="s">
        <v>27</v>
      </c>
      <c r="C30" s="44">
        <v>1302253</v>
      </c>
      <c r="D30" s="41">
        <v>235184</v>
      </c>
      <c r="E30" s="61">
        <v>118131</v>
      </c>
      <c r="F30" s="41">
        <v>226522</v>
      </c>
      <c r="G30" s="41">
        <f>SUM(C30:F30)</f>
        <v>1882090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2972279057684</v>
      </c>
      <c r="D33" s="41">
        <v>534918137671</v>
      </c>
      <c r="E33" s="61">
        <v>231425958070</v>
      </c>
      <c r="F33" s="41">
        <v>261676002455</v>
      </c>
      <c r="G33" s="41">
        <f>SUM(C33:F33)</f>
        <v>4000299155880</v>
      </c>
    </row>
    <row r="34" spans="1:9" x14ac:dyDescent="0.25">
      <c r="B34" s="36" t="s">
        <v>30</v>
      </c>
      <c r="C34" s="41">
        <v>120818093430</v>
      </c>
      <c r="D34" s="41">
        <f>198912*D24</f>
        <v>47633655552</v>
      </c>
      <c r="E34" s="61">
        <v>26824594200</v>
      </c>
      <c r="F34" s="41">
        <v>94719630504</v>
      </c>
      <c r="G34" s="41">
        <f>SUM(C34:F34)</f>
        <v>289995973686</v>
      </c>
    </row>
    <row r="35" spans="1:9" x14ac:dyDescent="0.25">
      <c r="B35" s="21" t="s">
        <v>31</v>
      </c>
      <c r="C35" s="22">
        <v>3093097151114</v>
      </c>
      <c r="D35" s="22">
        <v>534918336583</v>
      </c>
      <c r="E35" s="22">
        <f>+E33+E34</f>
        <v>258250552270</v>
      </c>
      <c r="F35" s="22">
        <v>356395632959</v>
      </c>
      <c r="G35" s="22">
        <f>SUM(C35:F35)</f>
        <v>4242661672926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54">
        <v>547717</v>
      </c>
      <c r="D39" s="39">
        <v>151938</v>
      </c>
      <c r="E39" s="61">
        <v>66114</v>
      </c>
      <c r="F39" s="39">
        <v>74509</v>
      </c>
      <c r="G39" s="39">
        <f>SUM(C39:F39)</f>
        <v>840278</v>
      </c>
      <c r="H39" s="9"/>
      <c r="I39" s="9"/>
    </row>
    <row r="40" spans="1:9" x14ac:dyDescent="0.25">
      <c r="B40" s="36" t="s">
        <v>35</v>
      </c>
      <c r="C40" s="39">
        <v>2156</v>
      </c>
      <c r="D40" s="38">
        <v>815</v>
      </c>
      <c r="E40" s="61">
        <v>372</v>
      </c>
      <c r="F40" s="39">
        <v>416</v>
      </c>
      <c r="G40" s="13">
        <f>SUM(C40:F40)</f>
        <v>3759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36" t="s">
        <v>37</v>
      </c>
      <c r="C43" s="39">
        <v>67</v>
      </c>
      <c r="D43" s="39">
        <v>44</v>
      </c>
      <c r="E43" s="61">
        <v>32</v>
      </c>
      <c r="F43" s="39">
        <v>9</v>
      </c>
      <c r="G43" s="39">
        <f>SUM(C43:F43)</f>
        <v>152</v>
      </c>
      <c r="H43" s="9"/>
      <c r="I43" s="9"/>
    </row>
    <row r="44" spans="1:9" x14ac:dyDescent="0.25">
      <c r="B44" s="36" t="s">
        <v>38</v>
      </c>
      <c r="C44" s="13">
        <v>5.41</v>
      </c>
      <c r="D44" s="50">
        <v>0.63</v>
      </c>
      <c r="E44" s="62">
        <v>0.3</v>
      </c>
      <c r="F44" s="39">
        <v>0</v>
      </c>
      <c r="G44" s="13">
        <f>SUM(C44:F44)</f>
        <v>6.34</v>
      </c>
      <c r="H44" s="9"/>
      <c r="I44" s="9"/>
    </row>
    <row r="45" spans="1:9" x14ac:dyDescent="0.25">
      <c r="A45" s="4"/>
      <c r="B45" s="139"/>
      <c r="C45" s="139"/>
      <c r="D45" s="139"/>
      <c r="E45" s="139"/>
      <c r="F45" s="139"/>
      <c r="G45" s="139"/>
      <c r="H45" s="139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107</v>
      </c>
      <c r="D47" s="41">
        <v>64148</v>
      </c>
      <c r="E47" s="61">
        <v>11338</v>
      </c>
      <c r="F47" s="41">
        <v>46873</v>
      </c>
      <c r="G47" s="41">
        <f>SUM(C47:F47)</f>
        <v>122466</v>
      </c>
      <c r="H47" s="9"/>
      <c r="I47" s="9"/>
    </row>
    <row r="48" spans="1:9" x14ac:dyDescent="0.25">
      <c r="B48" s="36" t="s">
        <v>41</v>
      </c>
      <c r="C48" s="39">
        <v>36911</v>
      </c>
      <c r="D48" s="39">
        <v>16431</v>
      </c>
      <c r="E48" s="61">
        <f>5832323420/1000000</f>
        <v>5832.3234199999997</v>
      </c>
      <c r="F48" s="39">
        <v>6067</v>
      </c>
      <c r="G48" s="13">
        <f>SUM(C48:F48)</f>
        <v>65241.323420000001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147078</v>
      </c>
      <c r="D54" s="41">
        <v>9039</v>
      </c>
      <c r="E54" s="42">
        <v>3722</v>
      </c>
      <c r="F54" s="41">
        <v>5278</v>
      </c>
      <c r="G54" s="41">
        <f t="shared" ref="G54:G70" si="0">SUM(C54:F54)</f>
        <v>165117</v>
      </c>
    </row>
    <row r="55" spans="1:8" x14ac:dyDescent="0.25">
      <c r="B55" s="36" t="s">
        <v>46</v>
      </c>
      <c r="C55" s="41">
        <v>84356</v>
      </c>
      <c r="D55" s="41">
        <v>15422</v>
      </c>
      <c r="E55" s="42">
        <v>6849.6625309999999</v>
      </c>
      <c r="F55" s="41">
        <v>9768</v>
      </c>
      <c r="G55" s="41">
        <f t="shared" si="0"/>
        <v>116395.66253099999</v>
      </c>
    </row>
    <row r="56" spans="1:8" x14ac:dyDescent="0.25">
      <c r="B56" s="36" t="s">
        <v>47</v>
      </c>
      <c r="C56" s="41">
        <v>12</v>
      </c>
      <c r="D56" s="41">
        <v>38</v>
      </c>
      <c r="E56" s="59">
        <v>27</v>
      </c>
      <c r="F56" s="41">
        <v>31</v>
      </c>
      <c r="G56" s="41">
        <f>AVERAGE(C56:F56)</f>
        <v>27</v>
      </c>
    </row>
    <row r="57" spans="1:8" x14ac:dyDescent="0.25">
      <c r="B57" s="36" t="s">
        <v>48</v>
      </c>
      <c r="C57" s="41">
        <v>1053047</v>
      </c>
      <c r="D57" s="41">
        <v>193856</v>
      </c>
      <c r="E57" s="42">
        <v>63641</v>
      </c>
      <c r="F57" s="41">
        <v>95717</v>
      </c>
      <c r="G57" s="41">
        <f t="shared" si="0"/>
        <v>1406261</v>
      </c>
    </row>
    <row r="58" spans="1:8" x14ac:dyDescent="0.25">
      <c r="B58" s="36" t="s">
        <v>49</v>
      </c>
      <c r="C58" s="41">
        <v>1462958.451842</v>
      </c>
      <c r="D58" s="39">
        <v>329386</v>
      </c>
      <c r="E58" s="60">
        <v>98329.173840000003</v>
      </c>
      <c r="F58" s="41">
        <v>169813</v>
      </c>
      <c r="G58" s="13">
        <f t="shared" si="0"/>
        <v>2060486.6256820001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9544</v>
      </c>
      <c r="D66" s="39">
        <v>4886</v>
      </c>
      <c r="E66" s="42">
        <v>3321</v>
      </c>
      <c r="F66" s="39">
        <v>15278</v>
      </c>
      <c r="G66" s="39">
        <f t="shared" si="0"/>
        <v>33029</v>
      </c>
    </row>
    <row r="67" spans="1:8" x14ac:dyDescent="0.25">
      <c r="B67" s="36" t="s">
        <v>46</v>
      </c>
      <c r="C67" s="41">
        <v>4542</v>
      </c>
      <c r="D67" s="39">
        <v>5841</v>
      </c>
      <c r="E67" s="42">
        <v>3724.3599260000001</v>
      </c>
      <c r="F67" s="39">
        <v>14185</v>
      </c>
      <c r="G67" s="39">
        <f t="shared" si="0"/>
        <v>28292.359926000001</v>
      </c>
    </row>
    <row r="68" spans="1:8" x14ac:dyDescent="0.25">
      <c r="B68" s="36" t="s">
        <v>47</v>
      </c>
      <c r="C68" s="41">
        <v>30</v>
      </c>
      <c r="D68" s="39">
        <v>53</v>
      </c>
      <c r="E68" s="42">
        <v>41</v>
      </c>
      <c r="F68" s="39">
        <v>42</v>
      </c>
      <c r="G68" s="39">
        <f>AVERAGE(C68:F68)</f>
        <v>41.5</v>
      </c>
    </row>
    <row r="69" spans="1:8" x14ac:dyDescent="0.25">
      <c r="B69" s="36" t="s">
        <v>48</v>
      </c>
      <c r="C69" s="41">
        <v>141966</v>
      </c>
      <c r="D69" s="39">
        <v>105094</v>
      </c>
      <c r="E69" s="42">
        <v>60989</v>
      </c>
      <c r="F69" s="39">
        <v>292915</v>
      </c>
      <c r="G69" s="39">
        <f t="shared" si="0"/>
        <v>600964</v>
      </c>
    </row>
    <row r="70" spans="1:8" x14ac:dyDescent="0.25">
      <c r="B70" s="36" t="s">
        <v>49</v>
      </c>
      <c r="C70" s="41">
        <v>101282.194263</v>
      </c>
      <c r="D70" s="41">
        <v>83082</v>
      </c>
      <c r="E70" s="42">
        <v>45199.056313000001</v>
      </c>
      <c r="F70" s="39">
        <v>180169</v>
      </c>
      <c r="G70" s="40">
        <f t="shared" si="0"/>
        <v>409732.25057599996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156622</v>
      </c>
      <c r="D72" s="22">
        <v>13925</v>
      </c>
      <c r="E72" s="22">
        <f t="shared" ref="E72:E73" si="1">+E66+E60+E54</f>
        <v>7043</v>
      </c>
      <c r="F72" s="22">
        <v>20556</v>
      </c>
      <c r="G72" s="22">
        <f>SUM(C72:F72)</f>
        <v>198146</v>
      </c>
    </row>
    <row r="73" spans="1:8" x14ac:dyDescent="0.25">
      <c r="B73" s="21" t="s">
        <v>46</v>
      </c>
      <c r="C73" s="22">
        <v>88899</v>
      </c>
      <c r="D73" s="22">
        <v>21263</v>
      </c>
      <c r="E73" s="22">
        <f t="shared" si="1"/>
        <v>10574.022456999999</v>
      </c>
      <c r="F73" s="22">
        <v>23953</v>
      </c>
      <c r="G73" s="25">
        <f>SUM(C73:F73)</f>
        <v>144689.02245699998</v>
      </c>
    </row>
    <row r="74" spans="1:8" x14ac:dyDescent="0.25">
      <c r="B74" s="21" t="s">
        <v>47</v>
      </c>
      <c r="C74" s="22">
        <v>13</v>
      </c>
      <c r="D74" s="22">
        <v>30</v>
      </c>
      <c r="E74" s="22">
        <v>34</v>
      </c>
      <c r="F74" s="22">
        <v>37</v>
      </c>
      <c r="G74" s="22">
        <f>AVERAGE(C74:F74)</f>
        <v>28.5</v>
      </c>
    </row>
    <row r="75" spans="1:8" x14ac:dyDescent="0.25">
      <c r="B75" s="21" t="s">
        <v>48</v>
      </c>
      <c r="C75" s="22">
        <v>1195013</v>
      </c>
      <c r="D75" s="22">
        <v>298950</v>
      </c>
      <c r="E75" s="22">
        <f t="shared" ref="E75:E76" si="2">+E69+E63+E57</f>
        <v>124630</v>
      </c>
      <c r="F75" s="22">
        <v>388632</v>
      </c>
      <c r="G75" s="22">
        <f>SUM(C75:F75)</f>
        <v>2007225</v>
      </c>
    </row>
    <row r="76" spans="1:8" x14ac:dyDescent="0.25">
      <c r="B76" s="21" t="s">
        <v>49</v>
      </c>
      <c r="C76" s="22">
        <v>1564240.6461050001</v>
      </c>
      <c r="D76" s="22">
        <v>412468</v>
      </c>
      <c r="E76" s="22">
        <f t="shared" si="2"/>
        <v>143528.23015300001</v>
      </c>
      <c r="F76" s="22">
        <v>349982</v>
      </c>
      <c r="G76" s="25">
        <f>SUM(C76:F76)</f>
        <v>2470218.8762580003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B80" s="36" t="s">
        <v>45</v>
      </c>
      <c r="C80" s="29">
        <v>0</v>
      </c>
      <c r="D80" s="23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29">
        <v>0</v>
      </c>
      <c r="D81" s="23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29">
        <v>0</v>
      </c>
      <c r="D82" s="23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29">
        <v>1131</v>
      </c>
      <c r="D83" s="23">
        <v>142</v>
      </c>
      <c r="E83" s="51">
        <v>7</v>
      </c>
      <c r="F83" s="29">
        <v>120</v>
      </c>
      <c r="G83" s="29">
        <f>SUM(C83:F83)</f>
        <v>1400</v>
      </c>
    </row>
    <row r="84" spans="2:7" x14ac:dyDescent="0.25">
      <c r="B84" s="36" t="s">
        <v>49</v>
      </c>
      <c r="C84" s="58">
        <v>22334</v>
      </c>
      <c r="D84" s="38">
        <v>1647</v>
      </c>
      <c r="E84" s="51">
        <v>88</v>
      </c>
      <c r="F84" s="39">
        <v>2080</v>
      </c>
      <c r="G84" s="13">
        <f>SUM(C84:F84)</f>
        <v>26149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41">
        <v>0</v>
      </c>
      <c r="D92" s="23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41">
        <v>0</v>
      </c>
      <c r="D93" s="23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42">
        <v>0</v>
      </c>
      <c r="D94" s="23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57">
        <v>13</v>
      </c>
      <c r="D95" s="23">
        <v>0</v>
      </c>
      <c r="E95" s="23">
        <v>0</v>
      </c>
      <c r="F95" s="29">
        <v>9</v>
      </c>
      <c r="G95" s="39">
        <f>SUM(C95:F95)</f>
        <v>22</v>
      </c>
    </row>
    <row r="96" spans="2:7" x14ac:dyDescent="0.25">
      <c r="B96" s="36" t="s">
        <v>49</v>
      </c>
      <c r="C96" s="58">
        <v>196</v>
      </c>
      <c r="D96" s="23">
        <v>0</v>
      </c>
      <c r="E96" s="23">
        <v>0</v>
      </c>
      <c r="F96" s="29">
        <v>121</v>
      </c>
      <c r="G96" s="13">
        <f>SUM(C96:F96)</f>
        <v>317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2">
        <v>0</v>
      </c>
      <c r="D98" s="21">
        <v>0</v>
      </c>
      <c r="E98" s="22">
        <v>0</v>
      </c>
      <c r="F98" s="24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21">
        <v>0</v>
      </c>
      <c r="E99" s="22">
        <v>0</v>
      </c>
      <c r="F99" s="24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21">
        <v>0</v>
      </c>
      <c r="E100" s="22">
        <v>0</v>
      </c>
      <c r="F100" s="24">
        <v>0</v>
      </c>
      <c r="G100" s="22">
        <f>AVERAGE(C100:F100)</f>
        <v>0</v>
      </c>
    </row>
    <row r="101" spans="1:8" x14ac:dyDescent="0.25">
      <c r="B101" s="21" t="s">
        <v>48</v>
      </c>
      <c r="C101" s="22">
        <v>1144</v>
      </c>
      <c r="D101" s="21">
        <v>142</v>
      </c>
      <c r="E101" s="22">
        <f>+E83</f>
        <v>7</v>
      </c>
      <c r="F101" s="32">
        <v>0</v>
      </c>
      <c r="G101" s="22">
        <f>SUM(C101:F101)</f>
        <v>1293</v>
      </c>
    </row>
    <row r="102" spans="1:8" x14ac:dyDescent="0.25">
      <c r="B102" s="21" t="s">
        <v>49</v>
      </c>
      <c r="C102" s="22">
        <v>22530</v>
      </c>
      <c r="D102" s="22">
        <v>1647</v>
      </c>
      <c r="E102" s="22">
        <f>+E84</f>
        <v>88</v>
      </c>
      <c r="F102" s="25">
        <v>0</v>
      </c>
      <c r="G102" s="25">
        <f>SUM(C102:F102)</f>
        <v>24265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55"/>
      <c r="G105" s="155"/>
    </row>
    <row r="106" spans="1:8" x14ac:dyDescent="0.25">
      <c r="B106" s="36" t="s">
        <v>57</v>
      </c>
      <c r="C106" s="16">
        <v>1.5509388125592181</v>
      </c>
      <c r="D106" s="16">
        <v>2.79</v>
      </c>
      <c r="E106" s="45">
        <v>2.38</v>
      </c>
      <c r="F106" s="16">
        <v>1.99</v>
      </c>
      <c r="G106" s="16">
        <f>AVERAGE(C106:F106)</f>
        <v>2.1777347031398042</v>
      </c>
    </row>
    <row r="107" spans="1:8" x14ac:dyDescent="0.25">
      <c r="B107" s="36" t="s">
        <v>58</v>
      </c>
      <c r="C107" s="16">
        <v>1.7957546012270753</v>
      </c>
      <c r="D107" s="16">
        <v>2.66</v>
      </c>
      <c r="E107" s="48">
        <v>2.2599999999999998</v>
      </c>
      <c r="F107" s="16">
        <v>0.99</v>
      </c>
      <c r="G107" s="16">
        <f>AVERAGE(C107:F107)</f>
        <v>1.926438650306769</v>
      </c>
    </row>
    <row r="108" spans="1:8" x14ac:dyDescent="0.25">
      <c r="B108" s="36" t="s">
        <v>59</v>
      </c>
      <c r="C108" s="16">
        <v>1.59</v>
      </c>
      <c r="D108" s="16">
        <v>2.59</v>
      </c>
      <c r="E108" s="45">
        <v>2.21</v>
      </c>
      <c r="F108" s="16">
        <v>1.99</v>
      </c>
      <c r="G108" s="16">
        <f>AVERAGE(C108:F108)</f>
        <v>2.0949999999999998</v>
      </c>
    </row>
    <row r="109" spans="1:8" x14ac:dyDescent="0.25">
      <c r="B109" s="155" t="s">
        <v>60</v>
      </c>
      <c r="C109" s="155"/>
      <c r="D109" s="155"/>
      <c r="E109" s="155"/>
      <c r="F109" s="155"/>
      <c r="G109" s="155"/>
    </row>
    <row r="110" spans="1:8" x14ac:dyDescent="0.25">
      <c r="B110" s="36" t="s">
        <v>57</v>
      </c>
      <c r="C110" s="16">
        <v>1.2990909090909089</v>
      </c>
      <c r="D110" s="16">
        <v>1.6</v>
      </c>
      <c r="E110" s="45">
        <v>1.44</v>
      </c>
      <c r="F110" s="16">
        <v>1.5825</v>
      </c>
      <c r="G110" s="16">
        <f>AVERAGE(C110:F110)</f>
        <v>1.4803977272727273</v>
      </c>
    </row>
    <row r="111" spans="1:8" x14ac:dyDescent="0.25">
      <c r="B111" s="36" t="s">
        <v>58</v>
      </c>
      <c r="C111" s="16">
        <v>1.4505405405405414</v>
      </c>
      <c r="D111" s="16">
        <v>1.78</v>
      </c>
      <c r="E111" s="45">
        <v>1.5</v>
      </c>
      <c r="F111" s="16">
        <v>0.98</v>
      </c>
      <c r="G111" s="16">
        <f>AVERAGE(C111:F111)</f>
        <v>1.4276351351351355</v>
      </c>
    </row>
    <row r="112" spans="1:8" x14ac:dyDescent="0.25">
      <c r="B112" s="36" t="s">
        <v>59</v>
      </c>
      <c r="C112" s="16">
        <v>1.0900000000000001</v>
      </c>
      <c r="D112" s="16">
        <v>1.9</v>
      </c>
      <c r="E112" s="45">
        <v>1.55</v>
      </c>
      <c r="F112" s="16">
        <v>1.5825</v>
      </c>
      <c r="G112" s="16">
        <f>AVERAGE(C112:F112)</f>
        <v>1.5306250000000001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55"/>
      <c r="G114" s="155"/>
    </row>
    <row r="115" spans="1:9" x14ac:dyDescent="0.25">
      <c r="B115" s="36" t="s">
        <v>57</v>
      </c>
      <c r="C115" s="16">
        <v>1.1657535857041605</v>
      </c>
      <c r="D115" s="16">
        <v>1.69</v>
      </c>
      <c r="E115" s="48">
        <v>1.34</v>
      </c>
      <c r="F115" s="16">
        <v>1.45</v>
      </c>
      <c r="G115" s="16">
        <f>AVERAGE(C115:F115)</f>
        <v>1.4114383964260402</v>
      </c>
    </row>
    <row r="116" spans="1:9" x14ac:dyDescent="0.25">
      <c r="B116" s="36" t="s">
        <v>58</v>
      </c>
      <c r="C116" s="16">
        <v>1.3888241058304716</v>
      </c>
      <c r="D116" s="16">
        <v>1.71</v>
      </c>
      <c r="E116" s="48">
        <v>1.43</v>
      </c>
      <c r="F116" s="16">
        <v>1.55</v>
      </c>
      <c r="G116" s="16">
        <f>AVERAGE(C116:F116)</f>
        <v>1.5197060264576179</v>
      </c>
    </row>
    <row r="117" spans="1:9" x14ac:dyDescent="0.25">
      <c r="B117" s="36" t="s">
        <v>59</v>
      </c>
      <c r="C117" s="16">
        <v>1.37</v>
      </c>
      <c r="D117" s="16">
        <v>1.73</v>
      </c>
      <c r="E117" s="48">
        <v>1.6</v>
      </c>
      <c r="F117" s="16">
        <v>1.45</v>
      </c>
      <c r="G117" s="16">
        <f>AVERAGE(C117:F117)</f>
        <v>1.5375000000000001</v>
      </c>
    </row>
    <row r="118" spans="1:9" x14ac:dyDescent="0.25">
      <c r="B118" s="160" t="s">
        <v>62</v>
      </c>
      <c r="C118" s="161"/>
      <c r="D118" s="161"/>
      <c r="E118" s="161"/>
      <c r="F118" s="161"/>
      <c r="G118" s="162"/>
    </row>
    <row r="119" spans="1:9" x14ac:dyDescent="0.25">
      <c r="B119" s="36" t="s">
        <v>57</v>
      </c>
      <c r="C119" s="16">
        <v>0.98</v>
      </c>
      <c r="D119" s="16">
        <v>1.24</v>
      </c>
      <c r="E119" s="37">
        <v>0</v>
      </c>
      <c r="F119" s="16">
        <v>0.99</v>
      </c>
      <c r="G119" s="16">
        <f>AVERAGE(C119:F119)</f>
        <v>0.80249999999999999</v>
      </c>
    </row>
    <row r="120" spans="1:9" x14ac:dyDescent="0.25">
      <c r="B120" s="36" t="s">
        <v>58</v>
      </c>
      <c r="C120" s="16">
        <v>0.98999999999999988</v>
      </c>
      <c r="D120" s="16">
        <v>1.24</v>
      </c>
      <c r="E120" s="37">
        <v>0</v>
      </c>
      <c r="F120" s="16">
        <v>1.19</v>
      </c>
      <c r="G120" s="16">
        <f>AVERAGE(C120:F120)</f>
        <v>0.85499999999999998</v>
      </c>
    </row>
    <row r="121" spans="1:9" x14ac:dyDescent="0.25">
      <c r="B121" s="36" t="s">
        <v>59</v>
      </c>
      <c r="C121" s="16">
        <v>0.98999999999999977</v>
      </c>
      <c r="D121" s="16">
        <v>1.24</v>
      </c>
      <c r="E121" s="45">
        <v>1.2</v>
      </c>
      <c r="F121" s="16">
        <v>0.99</v>
      </c>
      <c r="G121" s="16">
        <f>AVERAGE(C121:F121)</f>
        <v>1.105</v>
      </c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16">
        <v>0</v>
      </c>
      <c r="D124" s="31">
        <v>0</v>
      </c>
      <c r="E124" s="23">
        <v>0</v>
      </c>
      <c r="F124" s="23">
        <v>0</v>
      </c>
      <c r="G124" s="40">
        <f>AVERAGE(C124:F124)</f>
        <v>0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6">
        <v>1.94</v>
      </c>
      <c r="D126" s="16">
        <v>2.02</v>
      </c>
      <c r="E126" s="52">
        <v>2.0915859999999999</v>
      </c>
      <c r="F126" s="14">
        <v>0</v>
      </c>
      <c r="G126" s="40">
        <f>AVERAGE(C126:F126)</f>
        <v>1.5128965000000001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53"/>
      <c r="G128" s="153"/>
    </row>
    <row r="129" spans="1:9" x14ac:dyDescent="0.25">
      <c r="B129" s="36" t="s">
        <v>68</v>
      </c>
      <c r="C129" s="39">
        <v>339320</v>
      </c>
      <c r="D129" s="41">
        <v>38547</v>
      </c>
      <c r="E129" s="63">
        <v>8654</v>
      </c>
      <c r="F129" s="41">
        <v>1145</v>
      </c>
      <c r="G129" s="39">
        <f>SUM(C129:F129)</f>
        <v>387666</v>
      </c>
    </row>
    <row r="130" spans="1:9" x14ac:dyDescent="0.25">
      <c r="B130" s="36" t="s">
        <v>69</v>
      </c>
      <c r="C130" s="39">
        <v>174211</v>
      </c>
      <c r="D130" s="39">
        <v>4123</v>
      </c>
      <c r="E130" s="63">
        <v>1186</v>
      </c>
      <c r="F130" s="39">
        <v>1405</v>
      </c>
      <c r="G130" s="13">
        <f>SUM(C130:F130)</f>
        <v>180925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39">
        <v>732780</v>
      </c>
      <c r="D133" s="41">
        <v>257202</v>
      </c>
      <c r="E133" s="63">
        <f>34360+112234</f>
        <v>146594</v>
      </c>
      <c r="F133" s="39">
        <v>367695</v>
      </c>
      <c r="G133" s="39">
        <f>SUM(C133:F133)</f>
        <v>1504271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39">
        <v>0</v>
      </c>
      <c r="D137" s="39">
        <v>7936</v>
      </c>
      <c r="E137" s="39">
        <v>0</v>
      </c>
      <c r="F137" s="39">
        <v>16005</v>
      </c>
      <c r="G137" s="41">
        <f>SUM(C137:F137)</f>
        <v>23941</v>
      </c>
      <c r="H137" s="9"/>
      <c r="I137" s="9"/>
    </row>
    <row r="138" spans="1:9" x14ac:dyDescent="0.25">
      <c r="B138" s="36" t="s">
        <v>75</v>
      </c>
      <c r="C138" s="39">
        <v>0</v>
      </c>
      <c r="D138" s="39">
        <v>1604</v>
      </c>
      <c r="E138" s="39">
        <v>0</v>
      </c>
      <c r="F138" s="39">
        <v>334</v>
      </c>
      <c r="G138" s="41">
        <f>SUM(C138:F138)</f>
        <v>1938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41">
        <v>317</v>
      </c>
      <c r="D147" s="41">
        <v>1538</v>
      </c>
      <c r="E147" s="63">
        <v>0</v>
      </c>
      <c r="F147" s="39">
        <v>259</v>
      </c>
      <c r="G147" s="39">
        <f>SUM(C147:F147)</f>
        <v>2114</v>
      </c>
    </row>
    <row r="148" spans="1:8" x14ac:dyDescent="0.25">
      <c r="B148" s="36" t="s">
        <v>82</v>
      </c>
      <c r="C148" s="41">
        <v>7</v>
      </c>
      <c r="D148" s="39">
        <v>31</v>
      </c>
      <c r="E148" s="63">
        <v>0</v>
      </c>
      <c r="F148" s="38">
        <v>4</v>
      </c>
      <c r="G148" s="13">
        <f>SUM(C148:F148)</f>
        <v>42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41">
        <v>5</v>
      </c>
      <c r="E151" s="63">
        <v>18</v>
      </c>
      <c r="F151" s="33">
        <v>0</v>
      </c>
      <c r="G151" s="39">
        <f>SUM(C151:F151)</f>
        <v>23</v>
      </c>
      <c r="H151" s="26"/>
    </row>
    <row r="152" spans="1:8" x14ac:dyDescent="0.25">
      <c r="B152" s="36" t="s">
        <v>85</v>
      </c>
      <c r="C152" s="36">
        <v>0</v>
      </c>
      <c r="D152" s="41">
        <v>0</v>
      </c>
      <c r="E152" s="63">
        <f>396000/1000000</f>
        <v>0.39600000000000002</v>
      </c>
      <c r="F152" s="33">
        <v>0</v>
      </c>
      <c r="G152" s="13">
        <f>SUM(C152:F152)</f>
        <v>0.39600000000000002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216</v>
      </c>
      <c r="E155" s="63">
        <v>0</v>
      </c>
      <c r="F155" s="53">
        <v>0</v>
      </c>
      <c r="G155" s="39">
        <f>SUM(C155:F155)</f>
        <v>216</v>
      </c>
      <c r="H155" s="26"/>
    </row>
    <row r="156" spans="1:8" x14ac:dyDescent="0.25">
      <c r="B156" s="36" t="s">
        <v>88</v>
      </c>
      <c r="C156" s="13">
        <v>0</v>
      </c>
      <c r="D156" s="39">
        <v>3</v>
      </c>
      <c r="E156" s="63">
        <v>0</v>
      </c>
      <c r="F156" s="53">
        <v>0</v>
      </c>
      <c r="G156" s="13">
        <f>SUM(C156:F156)</f>
        <v>3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2">
        <v>317</v>
      </c>
      <c r="D159" s="46">
        <v>1759</v>
      </c>
      <c r="E159" s="22">
        <f>+E155+E151+E147</f>
        <v>18</v>
      </c>
      <c r="F159" s="22">
        <v>259</v>
      </c>
      <c r="G159" s="22">
        <f>SUM(C159:F159)</f>
        <v>2353</v>
      </c>
    </row>
    <row r="160" spans="1:8" x14ac:dyDescent="0.25">
      <c r="B160" s="21" t="s">
        <v>91</v>
      </c>
      <c r="C160" s="22">
        <v>7</v>
      </c>
      <c r="D160" s="46">
        <v>34</v>
      </c>
      <c r="E160" s="22">
        <f>+E156+E152+E148</f>
        <v>0.39600000000000002</v>
      </c>
      <c r="F160" s="22">
        <v>4</v>
      </c>
      <c r="G160" s="25">
        <f>SUM(C160:F160)</f>
        <v>45.396000000000001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39">
        <v>4410</v>
      </c>
      <c r="D163" s="41">
        <v>44232</v>
      </c>
      <c r="E163" s="63">
        <v>5251</v>
      </c>
      <c r="F163" s="39">
        <v>19869</v>
      </c>
      <c r="G163" s="39">
        <f>SUM(C163:F163)</f>
        <v>73762</v>
      </c>
    </row>
    <row r="164" spans="1:8" x14ac:dyDescent="0.25">
      <c r="B164" s="17" t="s">
        <v>88</v>
      </c>
      <c r="C164" s="39">
        <v>108</v>
      </c>
      <c r="D164" s="39">
        <v>218</v>
      </c>
      <c r="E164" s="63">
        <f>54452977/1000000</f>
        <v>54.452976999999997</v>
      </c>
      <c r="F164" s="39">
        <v>127</v>
      </c>
      <c r="G164" s="13">
        <f>SUM(C164:F164)</f>
        <v>507.45297699999998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50"/>
      <c r="G167" s="151"/>
    </row>
    <row r="168" spans="1:8" x14ac:dyDescent="0.25">
      <c r="B168" s="36" t="s">
        <v>95</v>
      </c>
      <c r="C168" s="38">
        <v>464</v>
      </c>
      <c r="D168" s="41">
        <v>3093</v>
      </c>
      <c r="E168" s="63">
        <v>147</v>
      </c>
      <c r="F168" s="36">
        <v>712</v>
      </c>
      <c r="G168" s="39">
        <f>SUM(C168:F168)</f>
        <v>4416</v>
      </c>
    </row>
    <row r="169" spans="1:8" x14ac:dyDescent="0.25">
      <c r="B169" s="36" t="s">
        <v>96</v>
      </c>
      <c r="C169" s="38">
        <v>12</v>
      </c>
      <c r="D169" s="39">
        <v>41</v>
      </c>
      <c r="E169" s="63">
        <f>2940000/1000000</f>
        <v>2.94</v>
      </c>
      <c r="F169" s="39">
        <v>25</v>
      </c>
      <c r="G169" s="13">
        <f>SUM(C169:F169)</f>
        <v>80.94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50"/>
      <c r="G171" s="151"/>
    </row>
    <row r="172" spans="1:8" x14ac:dyDescent="0.25">
      <c r="B172" s="36" t="s">
        <v>98</v>
      </c>
      <c r="C172" s="39">
        <v>1928</v>
      </c>
      <c r="D172" s="41">
        <v>796</v>
      </c>
      <c r="E172" s="63">
        <v>276</v>
      </c>
      <c r="F172" s="36">
        <v>671</v>
      </c>
      <c r="G172" s="39">
        <f>SUM(C172:F172)</f>
        <v>3671</v>
      </c>
    </row>
    <row r="173" spans="1:8" x14ac:dyDescent="0.25">
      <c r="B173" s="36" t="s">
        <v>96</v>
      </c>
      <c r="C173" s="39">
        <v>42</v>
      </c>
      <c r="D173" s="39">
        <v>17</v>
      </c>
      <c r="E173" s="63">
        <f>6900000/1000000</f>
        <v>6.9</v>
      </c>
      <c r="F173" s="39">
        <v>15</v>
      </c>
      <c r="G173" s="13">
        <f>SUM(C173:F173)</f>
        <v>80.900000000000006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49" t="s">
        <v>99</v>
      </c>
      <c r="C175" s="150"/>
      <c r="D175" s="150"/>
      <c r="E175" s="150"/>
      <c r="F175" s="150"/>
      <c r="G175" s="151"/>
    </row>
    <row r="176" spans="1:8" x14ac:dyDescent="0.25">
      <c r="B176" s="36" t="s">
        <v>98</v>
      </c>
      <c r="C176" s="34">
        <v>211</v>
      </c>
      <c r="D176" s="41">
        <v>337</v>
      </c>
      <c r="E176" s="63">
        <v>192</v>
      </c>
      <c r="F176" s="36">
        <v>57</v>
      </c>
      <c r="G176" s="39">
        <f>SUM(C176:F176)</f>
        <v>797</v>
      </c>
    </row>
    <row r="177" spans="1:8" x14ac:dyDescent="0.25">
      <c r="B177" s="36" t="s">
        <v>96</v>
      </c>
      <c r="C177" s="38">
        <v>15</v>
      </c>
      <c r="D177" s="39">
        <v>27</v>
      </c>
      <c r="E177" s="63">
        <f>10622892/1000000</f>
        <v>10.622892</v>
      </c>
      <c r="F177" s="39">
        <v>6</v>
      </c>
      <c r="G177" s="13">
        <f>SUM(C177:F177)</f>
        <v>58.622892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55">
        <v>507</v>
      </c>
      <c r="D180" s="41">
        <v>29</v>
      </c>
      <c r="E180" s="28">
        <v>0</v>
      </c>
      <c r="F180" s="41">
        <v>0</v>
      </c>
      <c r="G180" s="39">
        <f>SUM(C180:F180)</f>
        <v>536</v>
      </c>
    </row>
    <row r="181" spans="1:8" x14ac:dyDescent="0.25">
      <c r="B181" s="36" t="s">
        <v>96</v>
      </c>
      <c r="C181" s="56">
        <v>15</v>
      </c>
      <c r="D181" s="39">
        <v>41</v>
      </c>
      <c r="E181" s="28">
        <v>0</v>
      </c>
      <c r="F181" s="13">
        <v>0</v>
      </c>
      <c r="G181" s="13">
        <f>SUM(C181:F181)</f>
        <v>56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46">
        <v>3110</v>
      </c>
      <c r="D184" s="46">
        <v>4255</v>
      </c>
      <c r="E184" s="22">
        <f t="shared" ref="E184:E185" si="3">+E180+E176+E172+E168</f>
        <v>615</v>
      </c>
      <c r="F184" s="22">
        <f>+F168+F172+F176+F180</f>
        <v>1440</v>
      </c>
      <c r="G184" s="22">
        <f>SUM(C184:F184)</f>
        <v>9420</v>
      </c>
    </row>
    <row r="185" spans="1:8" x14ac:dyDescent="0.25">
      <c r="B185" s="21" t="s">
        <v>103</v>
      </c>
      <c r="C185" s="46">
        <v>84</v>
      </c>
      <c r="D185" s="46">
        <v>125</v>
      </c>
      <c r="E185" s="22">
        <f t="shared" si="3"/>
        <v>20.462892</v>
      </c>
      <c r="F185" s="22">
        <f>+F169+F173+F177+F181</f>
        <v>46</v>
      </c>
      <c r="G185" s="25">
        <f>SUM(C185:F185)</f>
        <v>275.46289200000001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53" t="s">
        <v>104</v>
      </c>
      <c r="C187" s="153"/>
      <c r="D187" s="153"/>
      <c r="E187" s="153"/>
      <c r="F187" s="153"/>
      <c r="G187" s="153"/>
    </row>
    <row r="188" spans="1:8" x14ac:dyDescent="0.25">
      <c r="B188" s="17" t="s">
        <v>105</v>
      </c>
      <c r="C188" s="39">
        <v>983</v>
      </c>
      <c r="D188" s="41">
        <v>7350</v>
      </c>
      <c r="E188" s="63">
        <v>81</v>
      </c>
      <c r="F188" s="39">
        <v>21568</v>
      </c>
      <c r="G188" s="39">
        <f>SUM(C188:F188)</f>
        <v>29982</v>
      </c>
    </row>
    <row r="189" spans="1:8" x14ac:dyDescent="0.25">
      <c r="B189" s="17" t="s">
        <v>106</v>
      </c>
      <c r="C189" s="39">
        <v>11</v>
      </c>
      <c r="D189" s="39">
        <v>53</v>
      </c>
      <c r="E189" s="63">
        <f>3220000/1000000</f>
        <v>3.22</v>
      </c>
      <c r="F189" s="39">
        <v>177</v>
      </c>
      <c r="G189" s="13">
        <f>SUM(C189:F189)</f>
        <v>244.22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8820</v>
      </c>
      <c r="D192" s="46">
        <v>57596</v>
      </c>
      <c r="E192" s="22">
        <f t="shared" ref="E192:E193" si="4">+E188+E184+E163+E159</f>
        <v>5965</v>
      </c>
      <c r="F192" s="22">
        <f>F159+F163+F184+F188</f>
        <v>43136</v>
      </c>
      <c r="G192" s="22">
        <f>SUM(C192:F192)</f>
        <v>115517</v>
      </c>
    </row>
    <row r="193" spans="2:7" x14ac:dyDescent="0.25">
      <c r="B193" s="21" t="s">
        <v>109</v>
      </c>
      <c r="C193" s="22">
        <v>210</v>
      </c>
      <c r="D193" s="46">
        <v>430</v>
      </c>
      <c r="E193" s="22">
        <f t="shared" si="4"/>
        <v>78.531869</v>
      </c>
      <c r="F193" s="22">
        <f>F160+F185+F164+F189</f>
        <v>354</v>
      </c>
      <c r="G193" s="25">
        <f>SUM(C193:F193)</f>
        <v>1072.5318689999999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1">
    <mergeCell ref="B187:G187"/>
    <mergeCell ref="B190:H190"/>
    <mergeCell ref="B191:G191"/>
    <mergeCell ref="B175:G175"/>
    <mergeCell ref="B178:H178"/>
    <mergeCell ref="B179:G179"/>
    <mergeCell ref="B182:H182"/>
    <mergeCell ref="B183:G183"/>
    <mergeCell ref="B186:H186"/>
    <mergeCell ref="B174:H174"/>
    <mergeCell ref="B153:H153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50:G150"/>
    <mergeCell ref="B134:H134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32:G132"/>
    <mergeCell ref="B105:G105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04:G104"/>
    <mergeCell ref="B53:G53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52:G52"/>
    <mergeCell ref="B32:G32"/>
    <mergeCell ref="B36:H36"/>
    <mergeCell ref="B37:G37"/>
    <mergeCell ref="B38:G38"/>
    <mergeCell ref="B41:H41"/>
    <mergeCell ref="B42:G42"/>
    <mergeCell ref="B45:H45"/>
    <mergeCell ref="B46:G46"/>
    <mergeCell ref="B49:H49"/>
    <mergeCell ref="B50:G50"/>
    <mergeCell ref="B51:H51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C34A-B08B-4CB8-887C-FE3BDB66B293}">
  <dimension ref="A1:BD197"/>
  <sheetViews>
    <sheetView topLeftCell="B29" zoomScaleNormal="100" workbookViewId="0">
      <selection activeCell="D44" sqref="D44"/>
    </sheetView>
  </sheetViews>
  <sheetFormatPr baseColWidth="10" defaultColWidth="9.140625" defaultRowHeight="15" x14ac:dyDescent="0.25"/>
  <cols>
    <col min="1" max="1" width="4.1406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111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41">
        <v>55914</v>
      </c>
      <c r="D6" s="41">
        <v>8265</v>
      </c>
      <c r="E6" s="20">
        <v>9452</v>
      </c>
      <c r="F6" s="15">
        <v>10747</v>
      </c>
      <c r="G6" s="15">
        <f>+F6+E6+D6+C6</f>
        <v>84378</v>
      </c>
    </row>
    <row r="7" spans="1:7" x14ac:dyDescent="0.25">
      <c r="B7" s="36" t="s">
        <v>10</v>
      </c>
      <c r="C7" s="41">
        <v>525</v>
      </c>
      <c r="D7" s="41">
        <v>230</v>
      </c>
      <c r="E7" s="20">
        <v>11</v>
      </c>
      <c r="F7" s="15">
        <v>129</v>
      </c>
      <c r="G7" s="15">
        <f>+F7+E7+D7+C7</f>
        <v>895</v>
      </c>
    </row>
    <row r="8" spans="1:7" x14ac:dyDescent="0.25">
      <c r="B8" s="21" t="s">
        <v>11</v>
      </c>
      <c r="C8" s="30">
        <f>SUM(C6:C7)</f>
        <v>56439</v>
      </c>
      <c r="D8" s="30">
        <f>+D6+D7</f>
        <v>8495</v>
      </c>
      <c r="E8" s="30">
        <f>SUM(E6:E7)</f>
        <v>9463</v>
      </c>
      <c r="F8" s="30">
        <f>SUM(F6:F7)</f>
        <v>10876</v>
      </c>
      <c r="G8" s="30">
        <f>+F8+E8+D8+C8</f>
        <v>85273</v>
      </c>
    </row>
    <row r="9" spans="1:7" x14ac:dyDescent="0.25">
      <c r="B9" s="179"/>
      <c r="C9" s="179"/>
      <c r="D9" s="179"/>
      <c r="E9" s="179"/>
      <c r="F9" s="179"/>
      <c r="G9" s="17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926514</v>
      </c>
      <c r="D12" s="41">
        <v>149631</v>
      </c>
      <c r="E12" s="81">
        <v>54689</v>
      </c>
      <c r="F12" s="20">
        <v>0</v>
      </c>
      <c r="G12" s="20">
        <f>SUM(C12:F12)</f>
        <v>1130834</v>
      </c>
    </row>
    <row r="13" spans="1:7" x14ac:dyDescent="0.25">
      <c r="B13" s="19" t="s">
        <v>15</v>
      </c>
      <c r="C13" s="15">
        <v>1929586</v>
      </c>
      <c r="D13" s="41">
        <v>487994</v>
      </c>
      <c r="E13" s="81">
        <v>200205</v>
      </c>
      <c r="F13" s="20">
        <v>0</v>
      </c>
      <c r="G13" s="20">
        <f>SUM(C13:F13)</f>
        <v>2617785</v>
      </c>
    </row>
    <row r="14" spans="1:7" x14ac:dyDescent="0.25">
      <c r="B14" s="21" t="s">
        <v>16</v>
      </c>
      <c r="C14" s="69">
        <v>2856100</v>
      </c>
      <c r="D14" s="69">
        <v>899110</v>
      </c>
      <c r="E14" s="69">
        <f>SUM(E12:E13)</f>
        <v>254894</v>
      </c>
      <c r="F14" s="69">
        <v>346125</v>
      </c>
      <c r="G14" s="22">
        <f>SUM(C14:F14)</f>
        <v>4356229</v>
      </c>
    </row>
    <row r="15" spans="1:7" x14ac:dyDescent="0.25">
      <c r="B15" s="21" t="s">
        <v>17</v>
      </c>
      <c r="C15" s="100">
        <v>392818</v>
      </c>
      <c r="D15" s="69">
        <v>139473</v>
      </c>
      <c r="E15" s="69">
        <v>2782</v>
      </c>
      <c r="F15" s="69">
        <v>85160</v>
      </c>
      <c r="G15" s="22">
        <f>SUM(C15:F15)</f>
        <v>620233</v>
      </c>
    </row>
    <row r="16" spans="1:7" x14ac:dyDescent="0.25">
      <c r="B16" s="21" t="s">
        <v>18</v>
      </c>
      <c r="C16" s="85">
        <f>C15+C14</f>
        <v>3248918</v>
      </c>
      <c r="D16" s="69">
        <f>+D14+D15</f>
        <v>1038583</v>
      </c>
      <c r="E16" s="69">
        <f>SUM(E14:E15)</f>
        <v>257676</v>
      </c>
      <c r="F16" s="69">
        <f>SUM(F12:F15)</f>
        <v>431285</v>
      </c>
      <c r="G16" s="22">
        <f>SUM(C16:F16)</f>
        <v>4976462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129">
        <v>3748</v>
      </c>
      <c r="D19" s="41">
        <v>2572</v>
      </c>
      <c r="E19" s="28">
        <v>0</v>
      </c>
      <c r="F19" s="28">
        <v>0</v>
      </c>
      <c r="G19" s="76">
        <f>SUM(C19:F19)</f>
        <v>6320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69">
        <f>+C19+C16</f>
        <v>3252666</v>
      </c>
      <c r="D21" s="69">
        <v>1041155</v>
      </c>
      <c r="E21" s="69">
        <f>+E19+E16</f>
        <v>257676</v>
      </c>
      <c r="F21" s="22">
        <f>F16</f>
        <v>431285</v>
      </c>
      <c r="G21" s="22">
        <f>SUM(C21:F21)</f>
        <v>4982782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22">
        <v>412067</v>
      </c>
      <c r="D24" s="22">
        <v>227372</v>
      </c>
      <c r="E24" s="22">
        <v>136998</v>
      </c>
      <c r="F24" s="22">
        <v>663617</v>
      </c>
      <c r="G24" s="69">
        <f>SUM(C24:F24)</f>
        <v>1440054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22">
        <f>+C24+C21</f>
        <v>3664733</v>
      </c>
      <c r="D27" s="22">
        <f>+D24+D21</f>
        <v>1268527</v>
      </c>
      <c r="E27" s="22">
        <f>+E21+E24</f>
        <v>394674</v>
      </c>
      <c r="F27" s="22">
        <f>+F24+F21</f>
        <v>1094902</v>
      </c>
      <c r="G27" s="22">
        <f>SUM(C27:F27)</f>
        <v>6422836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71" t="s">
        <v>26</v>
      </c>
      <c r="C29" s="172"/>
      <c r="D29" s="172"/>
      <c r="E29" s="172"/>
      <c r="F29" s="172"/>
      <c r="G29" s="173"/>
    </row>
    <row r="30" spans="2:8" x14ac:dyDescent="0.25">
      <c r="B30" s="6" t="s">
        <v>27</v>
      </c>
      <c r="C30" s="135">
        <v>1360066</v>
      </c>
      <c r="D30" s="41">
        <v>241616</v>
      </c>
      <c r="E30" s="81">
        <v>100441</v>
      </c>
      <c r="F30" s="41">
        <v>224205</v>
      </c>
      <c r="G30" s="88">
        <f>SUM(C30:F30)</f>
        <v>1926328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2580832071222</v>
      </c>
      <c r="D33" s="41">
        <v>506656083233</v>
      </c>
      <c r="E33" s="81">
        <v>206034265418</v>
      </c>
      <c r="F33" s="41">
        <v>304066543798</v>
      </c>
      <c r="G33" s="41">
        <f>SUM(C33:F33)</f>
        <v>3597588963671</v>
      </c>
    </row>
    <row r="34" spans="1:9" x14ac:dyDescent="0.25">
      <c r="B34" s="36" t="s">
        <v>30</v>
      </c>
      <c r="C34" s="41">
        <v>121681326294</v>
      </c>
      <c r="D34" s="41">
        <v>59212049685</v>
      </c>
      <c r="E34" s="81">
        <v>29759065900</v>
      </c>
      <c r="F34" s="41">
        <v>119904657119</v>
      </c>
      <c r="G34" s="41">
        <f>SUM(C34:F34)</f>
        <v>330557098998</v>
      </c>
    </row>
    <row r="35" spans="1:9" x14ac:dyDescent="0.25">
      <c r="B35" s="21" t="s">
        <v>31</v>
      </c>
      <c r="C35" s="22">
        <f>SUM(C33:C34)</f>
        <v>2702513397516</v>
      </c>
      <c r="D35" s="22">
        <f>+D34+D33</f>
        <v>565868132918</v>
      </c>
      <c r="E35" s="22">
        <f>+E33+E34</f>
        <v>235793331318</v>
      </c>
      <c r="F35" s="22">
        <f>SUM(F33:F34)</f>
        <v>423971200917</v>
      </c>
      <c r="G35" s="22">
        <f>SUM(C35:F35)</f>
        <v>3928146062669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612344</v>
      </c>
      <c r="D39" s="41">
        <v>143681</v>
      </c>
      <c r="E39" s="81">
        <v>58314</v>
      </c>
      <c r="F39" s="41">
        <v>68399</v>
      </c>
      <c r="G39" s="39">
        <f>SUM(C39:F39)</f>
        <v>882738</v>
      </c>
      <c r="H39" s="9"/>
      <c r="I39" s="9"/>
    </row>
    <row r="40" spans="1:9" x14ac:dyDescent="0.25">
      <c r="B40" s="36" t="s">
        <v>35</v>
      </c>
      <c r="C40" s="41">
        <f>2314322144/1000000</f>
        <v>2314.3221440000002</v>
      </c>
      <c r="D40" s="34">
        <v>815.91088400000001</v>
      </c>
      <c r="E40" s="81">
        <v>349</v>
      </c>
      <c r="F40" s="15">
        <v>395.72211600000003</v>
      </c>
      <c r="G40" s="13">
        <f>SUM(C40:F40)</f>
        <v>3874.955144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41" t="s">
        <v>37</v>
      </c>
      <c r="C43" s="41">
        <v>106</v>
      </c>
      <c r="D43" s="41">
        <v>31</v>
      </c>
      <c r="E43" s="41">
        <v>8</v>
      </c>
      <c r="F43" s="41">
        <v>4</v>
      </c>
      <c r="G43" s="41">
        <f>SUM(C43:F43)</f>
        <v>149</v>
      </c>
      <c r="H43" s="134"/>
      <c r="I43" s="9"/>
    </row>
    <row r="44" spans="1:9" x14ac:dyDescent="0.25">
      <c r="B44" s="41" t="s">
        <v>38</v>
      </c>
      <c r="C44" s="41">
        <f>5403115/1000000</f>
        <v>5.4031149999999997</v>
      </c>
      <c r="D44" s="40">
        <v>0.39</v>
      </c>
      <c r="E44" s="41">
        <v>0.1</v>
      </c>
      <c r="F44" s="41">
        <v>0.121561</v>
      </c>
      <c r="G44" s="41">
        <f>SUM(C44:F44)</f>
        <v>6.0146759999999988</v>
      </c>
      <c r="H44" s="134"/>
      <c r="I44" s="9"/>
    </row>
    <row r="45" spans="1:9" x14ac:dyDescent="0.25">
      <c r="A45" s="4"/>
      <c r="B45" s="41"/>
      <c r="C45" s="41"/>
      <c r="D45" s="41"/>
      <c r="E45" s="41"/>
      <c r="F45" s="41"/>
      <c r="G45" s="41"/>
      <c r="H45" s="134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94307</v>
      </c>
      <c r="D47" s="41">
        <v>64106</v>
      </c>
      <c r="E47" s="41">
        <v>10689</v>
      </c>
      <c r="F47" s="41">
        <v>48490</v>
      </c>
      <c r="G47" s="41">
        <f>SUM(C47:F47)</f>
        <v>217592</v>
      </c>
      <c r="H47" s="9"/>
      <c r="I47" s="9"/>
    </row>
    <row r="48" spans="1:9" x14ac:dyDescent="0.25">
      <c r="B48" s="36" t="s">
        <v>41</v>
      </c>
      <c r="C48" s="41">
        <f>(47128767273+824552227)/1000000</f>
        <v>47953.319499999998</v>
      </c>
      <c r="D48" s="41">
        <v>17358.94457</v>
      </c>
      <c r="E48" s="41">
        <v>7065.6706080000004</v>
      </c>
      <c r="F48" s="41">
        <v>6785.7128240000002</v>
      </c>
      <c r="G48" s="13">
        <f>SUM(C48:F48)</f>
        <v>79163.647501999993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71387</v>
      </c>
      <c r="D54" s="41">
        <v>3528</v>
      </c>
      <c r="E54" s="41">
        <v>1524</v>
      </c>
      <c r="F54" s="41">
        <v>2357</v>
      </c>
      <c r="G54" s="41">
        <f t="shared" ref="G54:G70" si="0">SUM(C54:F54)</f>
        <v>78796</v>
      </c>
    </row>
    <row r="55" spans="1:8" x14ac:dyDescent="0.25">
      <c r="B55" s="36" t="s">
        <v>46</v>
      </c>
      <c r="C55" s="41">
        <v>35718.882999000001</v>
      </c>
      <c r="D55" s="41">
        <v>7551.991</v>
      </c>
      <c r="E55" s="41">
        <v>3748.7651649999998</v>
      </c>
      <c r="F55" s="41">
        <v>6959</v>
      </c>
      <c r="G55" s="41">
        <f t="shared" si="0"/>
        <v>53978.639164</v>
      </c>
    </row>
    <row r="56" spans="1:8" x14ac:dyDescent="0.25">
      <c r="B56" s="36" t="s">
        <v>47</v>
      </c>
      <c r="C56" s="41">
        <v>9.6434644963368701</v>
      </c>
      <c r="D56" s="41">
        <v>40.852583362604989</v>
      </c>
      <c r="E56" s="41">
        <v>31</v>
      </c>
      <c r="F56" s="41">
        <v>35</v>
      </c>
      <c r="G56" s="41">
        <f>AVERAGE(C56:F56)</f>
        <v>29.124011964735466</v>
      </c>
    </row>
    <row r="57" spans="1:8" x14ac:dyDescent="0.25">
      <c r="B57" s="36" t="s">
        <v>48</v>
      </c>
      <c r="C57" s="41">
        <v>890263</v>
      </c>
      <c r="D57" s="41">
        <v>172268</v>
      </c>
      <c r="E57" s="41">
        <v>55629</v>
      </c>
      <c r="F57" s="41">
        <v>82727</v>
      </c>
      <c r="G57" s="41">
        <f t="shared" si="0"/>
        <v>1200887</v>
      </c>
    </row>
    <row r="58" spans="1:8" x14ac:dyDescent="0.25">
      <c r="B58" s="36" t="s">
        <v>49</v>
      </c>
      <c r="C58" s="41">
        <v>1377092.0470999496</v>
      </c>
      <c r="D58" s="41">
        <v>300066.91092200001</v>
      </c>
      <c r="E58" s="41">
        <v>90596.704746999996</v>
      </c>
      <c r="F58" s="41">
        <v>144364</v>
      </c>
      <c r="G58" s="13">
        <f t="shared" si="0"/>
        <v>1912119.6627689495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4272</v>
      </c>
      <c r="D66" s="41">
        <v>2718</v>
      </c>
      <c r="E66" s="41">
        <v>2286</v>
      </c>
      <c r="F66" s="41">
        <v>7858</v>
      </c>
      <c r="G66" s="39">
        <f t="shared" si="0"/>
        <v>17134</v>
      </c>
    </row>
    <row r="67" spans="1:8" x14ac:dyDescent="0.25">
      <c r="B67" s="36" t="s">
        <v>46</v>
      </c>
      <c r="C67" s="41">
        <v>2596.0880320000001</v>
      </c>
      <c r="D67" s="41">
        <v>3900.7579999999998</v>
      </c>
      <c r="E67" s="41">
        <v>3041.1053200000001</v>
      </c>
      <c r="F67" s="41">
        <v>8903</v>
      </c>
      <c r="G67" s="39">
        <f t="shared" si="0"/>
        <v>18440.951352</v>
      </c>
    </row>
    <row r="68" spans="1:8" x14ac:dyDescent="0.25">
      <c r="B68" s="36" t="s">
        <v>47</v>
      </c>
      <c r="C68" s="41">
        <v>33.600187265917597</v>
      </c>
      <c r="D68" s="41">
        <v>56.380537241036272</v>
      </c>
      <c r="E68" s="41">
        <v>55</v>
      </c>
      <c r="F68" s="41">
        <v>45</v>
      </c>
      <c r="G68" s="39">
        <f>AVERAGE(C68:F68)</f>
        <v>47.495181126738466</v>
      </c>
    </row>
    <row r="69" spans="1:8" x14ac:dyDescent="0.25">
      <c r="B69" s="36" t="s">
        <v>48</v>
      </c>
      <c r="C69" s="41">
        <v>125552</v>
      </c>
      <c r="D69" s="41">
        <v>94889</v>
      </c>
      <c r="E69" s="41">
        <v>59534</v>
      </c>
      <c r="F69" s="41">
        <v>263561</v>
      </c>
      <c r="G69" s="39">
        <f t="shared" si="0"/>
        <v>543536</v>
      </c>
    </row>
    <row r="70" spans="1:8" x14ac:dyDescent="0.25">
      <c r="B70" s="36" t="s">
        <v>49</v>
      </c>
      <c r="C70" s="41">
        <v>91367.932772191169</v>
      </c>
      <c r="D70" s="41">
        <v>80142.909627999994</v>
      </c>
      <c r="E70" s="41">
        <v>47288.223728999998</v>
      </c>
      <c r="F70" s="41">
        <v>173834</v>
      </c>
      <c r="G70" s="40">
        <f t="shared" si="0"/>
        <v>392633.0661291912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75659</v>
      </c>
      <c r="D72" s="22">
        <f>+D66+D60+D54</f>
        <v>6246</v>
      </c>
      <c r="E72" s="22">
        <f t="shared" ref="E72:E73" si="1">+E66+E60+E54</f>
        <v>3810</v>
      </c>
      <c r="F72" s="22">
        <f>+F54+F66</f>
        <v>10215</v>
      </c>
      <c r="G72" s="22">
        <f>SUM(C72:F72)</f>
        <v>95930</v>
      </c>
    </row>
    <row r="73" spans="1:8" x14ac:dyDescent="0.25">
      <c r="B73" s="21" t="s">
        <v>46</v>
      </c>
      <c r="C73" s="22">
        <v>38314.971031000001</v>
      </c>
      <c r="D73" s="22">
        <f t="shared" ref="D73:D75" si="2">+D67+D61+D55</f>
        <v>11452.749</v>
      </c>
      <c r="E73" s="22">
        <f t="shared" si="1"/>
        <v>6789.8704849999995</v>
      </c>
      <c r="F73" s="22">
        <f>+F55+F67</f>
        <v>15862</v>
      </c>
      <c r="G73" s="25">
        <f>SUM(C73:F73)</f>
        <v>72419.590515999997</v>
      </c>
    </row>
    <row r="74" spans="1:8" x14ac:dyDescent="0.25">
      <c r="B74" s="21" t="s">
        <v>47</v>
      </c>
      <c r="C74" s="22">
        <v>10.9961537953185</v>
      </c>
      <c r="D74" s="22">
        <f>(+D56+D62+D68)/3</f>
        <v>32.411040201213751</v>
      </c>
      <c r="E74" s="22"/>
      <c r="F74" s="22">
        <f>(F56+F68)/2</f>
        <v>40</v>
      </c>
      <c r="G74" s="22">
        <f>AVERAGE(C74:F74)</f>
        <v>27.802397998844082</v>
      </c>
    </row>
    <row r="75" spans="1:8" x14ac:dyDescent="0.25">
      <c r="B75" s="21" t="s">
        <v>48</v>
      </c>
      <c r="C75" s="22">
        <v>1015816</v>
      </c>
      <c r="D75" s="22">
        <f t="shared" si="2"/>
        <v>267157</v>
      </c>
      <c r="E75" s="22">
        <f t="shared" ref="E75:E76" si="3">+E69+E63+E57</f>
        <v>115163</v>
      </c>
      <c r="F75" s="22">
        <f>+F57+F69</f>
        <v>346288</v>
      </c>
      <c r="G75" s="22">
        <f>SUM(C75:F75)</f>
        <v>1744424</v>
      </c>
    </row>
    <row r="76" spans="1:8" x14ac:dyDescent="0.25">
      <c r="B76" s="21" t="s">
        <v>49</v>
      </c>
      <c r="C76" s="22">
        <f>+C58+C70</f>
        <v>1468459.9798721408</v>
      </c>
      <c r="D76" s="22">
        <f>+D70+D64+D58</f>
        <v>380209.82055</v>
      </c>
      <c r="E76" s="22">
        <f t="shared" si="3"/>
        <v>137884.928476</v>
      </c>
      <c r="F76" s="22">
        <f>+F58+F70</f>
        <v>318198</v>
      </c>
      <c r="G76" s="25">
        <f>SUM(C76:F76)</f>
        <v>2304752.7288981406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A80" s="1">
        <v>0</v>
      </c>
      <c r="B80" s="36" t="s">
        <v>45</v>
      </c>
      <c r="C80" s="41">
        <v>0</v>
      </c>
      <c r="D80" s="36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41">
        <v>0</v>
      </c>
      <c r="D81" s="36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41">
        <v>0</v>
      </c>
      <c r="D82" s="36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41">
        <v>1107</v>
      </c>
      <c r="D83" s="41">
        <v>137</v>
      </c>
      <c r="E83" s="41">
        <v>7</v>
      </c>
      <c r="F83" s="41">
        <v>117</v>
      </c>
      <c r="G83" s="29">
        <f>SUM(C83:F83)</f>
        <v>1368</v>
      </c>
    </row>
    <row r="84" spans="2:7" x14ac:dyDescent="0.25">
      <c r="B84" s="36" t="s">
        <v>49</v>
      </c>
      <c r="C84" s="41">
        <v>21658.113624505764</v>
      </c>
      <c r="D84" s="41">
        <v>1564</v>
      </c>
      <c r="E84" s="41">
        <v>86</v>
      </c>
      <c r="F84" s="41">
        <v>1979.033762</v>
      </c>
      <c r="G84" s="13">
        <f>SUM(C84:F84)</f>
        <v>25287.147386505763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41">
        <v>13</v>
      </c>
      <c r="D95" s="64">
        <v>0</v>
      </c>
      <c r="E95" s="23">
        <v>0</v>
      </c>
      <c r="F95" s="29">
        <v>8</v>
      </c>
      <c r="G95" s="39">
        <f>SUM(C95:F95)</f>
        <v>21</v>
      </c>
    </row>
    <row r="96" spans="2:7" x14ac:dyDescent="0.25">
      <c r="B96" s="36" t="s">
        <v>49</v>
      </c>
      <c r="C96" s="41">
        <v>189.35835769343905</v>
      </c>
      <c r="D96" s="64">
        <v>0</v>
      </c>
      <c r="E96" s="23">
        <v>0</v>
      </c>
      <c r="F96" s="29">
        <v>91.997315999999998</v>
      </c>
      <c r="G96" s="13">
        <f>SUM(C96:F96)</f>
        <v>281.35567369343903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2">
        <v>0</v>
      </c>
      <c r="D98" s="22">
        <f>+D92+D86+D80</f>
        <v>0</v>
      </c>
      <c r="E98" s="22">
        <v>0</v>
      </c>
      <c r="F98" s="22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22">
        <f t="shared" ref="D99:D102" si="4">+D93+D87+D81</f>
        <v>0</v>
      </c>
      <c r="E99" s="22">
        <v>0</v>
      </c>
      <c r="F99" s="22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22">
        <f t="shared" si="4"/>
        <v>0</v>
      </c>
      <c r="E100" s="22">
        <v>0</v>
      </c>
      <c r="F100" s="22">
        <v>0</v>
      </c>
      <c r="G100" s="22">
        <f>AVERAGE(C100:F100)</f>
        <v>0</v>
      </c>
    </row>
    <row r="101" spans="1:8" x14ac:dyDescent="0.25">
      <c r="B101" s="21" t="s">
        <v>48</v>
      </c>
      <c r="C101" s="22">
        <v>1120</v>
      </c>
      <c r="D101" s="22">
        <f t="shared" si="4"/>
        <v>137</v>
      </c>
      <c r="E101" s="22">
        <v>7</v>
      </c>
      <c r="F101" s="22">
        <v>0</v>
      </c>
      <c r="G101" s="22">
        <f>SUM(C101:F101)</f>
        <v>1264</v>
      </c>
    </row>
    <row r="102" spans="1:8" x14ac:dyDescent="0.25">
      <c r="B102" s="21" t="s">
        <v>49</v>
      </c>
      <c r="C102" s="22">
        <v>21847.4719821992</v>
      </c>
      <c r="D102" s="22">
        <f t="shared" si="4"/>
        <v>1564</v>
      </c>
      <c r="E102" s="22">
        <v>86</v>
      </c>
      <c r="F102" s="22">
        <v>0</v>
      </c>
      <c r="G102" s="25">
        <f>SUM(C102:F102)</f>
        <v>23497.4719821992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11">
        <v>1.5279676290885771</v>
      </c>
      <c r="D106" s="16">
        <v>2.5872480620155089</v>
      </c>
      <c r="E106" s="45">
        <v>2.36</v>
      </c>
      <c r="F106" s="16">
        <v>1.76</v>
      </c>
      <c r="G106" s="74">
        <f>AVERAGE(C106:F106)</f>
        <v>2.0588039227760215</v>
      </c>
    </row>
    <row r="107" spans="1:8" x14ac:dyDescent="0.25">
      <c r="B107" s="36" t="s">
        <v>58</v>
      </c>
      <c r="C107" s="111">
        <v>1.7966047638271727</v>
      </c>
      <c r="D107" s="16">
        <v>2.4318652849740992</v>
      </c>
      <c r="E107" s="48">
        <v>2.21</v>
      </c>
      <c r="F107" s="16">
        <v>2.1800000000000002</v>
      </c>
      <c r="G107" s="74">
        <f>AVERAGE(C107:F107)</f>
        <v>2.1546175122003182</v>
      </c>
    </row>
    <row r="108" spans="1:8" x14ac:dyDescent="0.25">
      <c r="B108" s="36" t="s">
        <v>59</v>
      </c>
      <c r="C108" s="111">
        <v>1.5</v>
      </c>
      <c r="D108" s="16">
        <v>2.2819736842105303</v>
      </c>
      <c r="E108" s="45">
        <v>2.11</v>
      </c>
      <c r="F108" s="16">
        <v>2.1800000000000002</v>
      </c>
      <c r="G108" s="74">
        <f>AVERAGE(C108:F108)</f>
        <v>2.0179934210526325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1.0587500000000003</v>
      </c>
      <c r="D110" s="16">
        <v>1.62</v>
      </c>
      <c r="E110" s="45">
        <v>1.36</v>
      </c>
      <c r="F110" s="111">
        <v>1.55</v>
      </c>
      <c r="G110" s="74">
        <f>AVERAGE(C110:F110)</f>
        <v>1.3971875</v>
      </c>
    </row>
    <row r="111" spans="1:8" x14ac:dyDescent="0.25">
      <c r="B111" s="36" t="s">
        <v>58</v>
      </c>
      <c r="C111" s="16">
        <v>1.4500000000000011</v>
      </c>
      <c r="D111" s="16">
        <v>1.6013333333333333</v>
      </c>
      <c r="E111" s="45">
        <v>1.44</v>
      </c>
      <c r="F111" s="111">
        <v>1.55</v>
      </c>
      <c r="G111" s="74">
        <f>AVERAGE(C111:F111)</f>
        <v>1.5103333333333335</v>
      </c>
    </row>
    <row r="112" spans="1:8" x14ac:dyDescent="0.25">
      <c r="B112" s="36" t="s">
        <v>59</v>
      </c>
      <c r="C112" s="16">
        <v>1.1009476534296019</v>
      </c>
      <c r="D112" s="16">
        <v>1.6118644067796615</v>
      </c>
      <c r="E112" s="45">
        <v>1.5</v>
      </c>
      <c r="F112" s="111">
        <v>1.55</v>
      </c>
      <c r="G112" s="74">
        <f>AVERAGE(C112:F112)</f>
        <v>1.4407030150523157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1.0547689216343108</v>
      </c>
      <c r="D115" s="16">
        <v>1.6449999999999987</v>
      </c>
      <c r="E115" s="48">
        <v>1.58</v>
      </c>
      <c r="F115" s="48">
        <v>1.59</v>
      </c>
      <c r="G115" s="74">
        <f>AVERAGE(C115:F115)</f>
        <v>1.4674422304085772</v>
      </c>
    </row>
    <row r="116" spans="1:9" x14ac:dyDescent="0.25">
      <c r="B116" s="36" t="s">
        <v>58</v>
      </c>
      <c r="C116" s="16">
        <v>1.3891425509110513</v>
      </c>
      <c r="D116" s="16">
        <v>1.6491208791208765</v>
      </c>
      <c r="E116" s="48">
        <v>1.59</v>
      </c>
      <c r="F116" s="48">
        <v>1.59</v>
      </c>
      <c r="G116" s="74">
        <f>AVERAGE(C116:F116)</f>
        <v>1.5545658575079819</v>
      </c>
    </row>
    <row r="117" spans="1:9" x14ac:dyDescent="0.25">
      <c r="B117" s="36" t="s">
        <v>59</v>
      </c>
      <c r="C117" s="16">
        <v>1.343467138921693</v>
      </c>
      <c r="D117" s="16">
        <v>1.6478776645042055</v>
      </c>
      <c r="E117" s="48">
        <v>1.58</v>
      </c>
      <c r="F117" s="48">
        <v>1.59</v>
      </c>
      <c r="G117" s="74">
        <f>AVERAGE(C117:F117)</f>
        <v>1.5403362008564745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48">
        <v>0</v>
      </c>
      <c r="D119" s="16">
        <v>1.17</v>
      </c>
      <c r="E119" s="37">
        <v>0</v>
      </c>
      <c r="F119" s="48">
        <v>0.98999999999999988</v>
      </c>
      <c r="G119" s="74">
        <f>AVERAGE(C119:F119)</f>
        <v>0.53999999999999992</v>
      </c>
      <c r="I119" s="10"/>
    </row>
    <row r="120" spans="1:9" x14ac:dyDescent="0.25">
      <c r="B120" s="36" t="s">
        <v>58</v>
      </c>
      <c r="C120" s="48">
        <v>0.98999999999999988</v>
      </c>
      <c r="D120" s="16">
        <v>1.17</v>
      </c>
      <c r="E120" s="45">
        <v>0</v>
      </c>
      <c r="F120" s="48">
        <v>1.39</v>
      </c>
      <c r="G120" s="74">
        <f>AVERAGE(C120:F120)</f>
        <v>0.88749999999999996</v>
      </c>
      <c r="I120" s="10"/>
    </row>
    <row r="121" spans="1:9" x14ac:dyDescent="0.25">
      <c r="B121" s="36" t="s">
        <v>59</v>
      </c>
      <c r="C121" s="48">
        <v>0.9900000000000001</v>
      </c>
      <c r="D121" s="16">
        <v>1.17</v>
      </c>
      <c r="E121" s="45">
        <v>1.1499999999999999</v>
      </c>
      <c r="F121" s="48">
        <v>1.39</v>
      </c>
      <c r="G121" s="74">
        <f>AVERAGE(C121:F121)</f>
        <v>1.175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31">
        <v>0</v>
      </c>
      <c r="D124" s="31">
        <v>0</v>
      </c>
      <c r="E124" s="23">
        <v>0</v>
      </c>
      <c r="F124" s="23">
        <v>0</v>
      </c>
      <c r="G124" s="40">
        <f>AVERAGE(C124:F124)</f>
        <v>0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6">
        <v>1.4995833333333333</v>
      </c>
      <c r="D126" s="65">
        <v>1.9737950242481901</v>
      </c>
      <c r="E126" s="52">
        <v>2.0019909999999999</v>
      </c>
      <c r="F126" s="14">
        <v>0</v>
      </c>
      <c r="G126" s="40">
        <f>AVERAGE(C126:F126)</f>
        <v>1.3688423393953808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77"/>
      <c r="G128" s="153"/>
    </row>
    <row r="129" spans="1:9" x14ac:dyDescent="0.25">
      <c r="B129" s="36" t="s">
        <v>68</v>
      </c>
      <c r="C129" s="41">
        <v>310455</v>
      </c>
      <c r="D129" s="41">
        <v>10984</v>
      </c>
      <c r="E129" s="41">
        <v>8638</v>
      </c>
      <c r="F129" s="41">
        <v>1084</v>
      </c>
      <c r="G129" s="79">
        <f>SUM(C129:F129)</f>
        <v>331161</v>
      </c>
    </row>
    <row r="130" spans="1:9" x14ac:dyDescent="0.25">
      <c r="B130" s="36" t="s">
        <v>69</v>
      </c>
      <c r="C130" s="41">
        <v>195271.79045100001</v>
      </c>
      <c r="D130" s="41">
        <v>4470.0965779999997</v>
      </c>
      <c r="E130" s="41">
        <v>1276</v>
      </c>
      <c r="F130" s="41">
        <v>1411.4635719999999</v>
      </c>
      <c r="G130" s="80">
        <f>SUM(C130:F130)</f>
        <v>202429.35060100001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41">
        <v>686979</v>
      </c>
      <c r="D133" s="41">
        <v>174075</v>
      </c>
      <c r="E133" s="41">
        <f>28718+114704</f>
        <v>143422</v>
      </c>
      <c r="F133" s="41">
        <v>334522</v>
      </c>
      <c r="G133" s="39">
        <f>SUM(C133:F133)</f>
        <v>1338998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41">
        <v>0</v>
      </c>
      <c r="D137" s="41">
        <v>5856</v>
      </c>
      <c r="E137" s="41">
        <v>0</v>
      </c>
      <c r="F137" s="41">
        <v>16216</v>
      </c>
      <c r="G137" s="41">
        <f>SUM(C137:F137)</f>
        <v>22072</v>
      </c>
      <c r="H137" s="9"/>
      <c r="I137" s="9"/>
    </row>
    <row r="138" spans="1:9" x14ac:dyDescent="0.25">
      <c r="B138" s="36" t="s">
        <v>75</v>
      </c>
      <c r="C138" s="41">
        <v>0</v>
      </c>
      <c r="D138" s="41">
        <v>7</v>
      </c>
      <c r="E138" s="41">
        <v>0</v>
      </c>
      <c r="F138" s="41">
        <v>248</v>
      </c>
      <c r="G138" s="41">
        <f>SUM(C138:F138)</f>
        <v>255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41">
        <v>63</v>
      </c>
      <c r="D147" s="41">
        <v>628</v>
      </c>
      <c r="E147" s="41">
        <v>374</v>
      </c>
      <c r="F147" s="41">
        <v>2693</v>
      </c>
      <c r="G147" s="39">
        <f>SUM(C147:F147)</f>
        <v>3758</v>
      </c>
    </row>
    <row r="148" spans="1:8" x14ac:dyDescent="0.25">
      <c r="B148" s="36" t="s">
        <v>82</v>
      </c>
      <c r="C148" s="41">
        <f>1334000/1000000</f>
        <v>1.3340000000000001</v>
      </c>
      <c r="D148" s="41">
        <v>12.486000000000001</v>
      </c>
      <c r="E148" s="41">
        <f>9219000/1000000</f>
        <v>9.2189999999999994</v>
      </c>
      <c r="F148" s="41">
        <v>55.789749999999998</v>
      </c>
      <c r="G148" s="13">
        <f>SUM(C148:F148)</f>
        <v>78.828749999999999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15">
        <v>954</v>
      </c>
      <c r="E151" s="66"/>
      <c r="F151" s="33">
        <v>0</v>
      </c>
      <c r="G151" s="39">
        <f>SUM(C151:F151)</f>
        <v>954</v>
      </c>
      <c r="H151" s="26"/>
    </row>
    <row r="152" spans="1:8" x14ac:dyDescent="0.25">
      <c r="B152" s="36" t="s">
        <v>85</v>
      </c>
      <c r="C152" s="36">
        <v>0</v>
      </c>
      <c r="D152" s="15">
        <v>40.97</v>
      </c>
      <c r="E152" s="66"/>
      <c r="F152" s="33">
        <v>0</v>
      </c>
      <c r="G152" s="13">
        <f>SUM(C152:F152)</f>
        <v>40.97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99</v>
      </c>
      <c r="E155" s="53">
        <v>0</v>
      </c>
      <c r="F155" s="41">
        <v>1451</v>
      </c>
      <c r="G155" s="39">
        <f>SUM(C155:F155)</f>
        <v>1550</v>
      </c>
      <c r="H155" s="26"/>
    </row>
    <row r="156" spans="1:8" x14ac:dyDescent="0.25">
      <c r="B156" s="36" t="s">
        <v>88</v>
      </c>
      <c r="C156" s="13">
        <v>0</v>
      </c>
      <c r="D156" s="41">
        <v>1.43</v>
      </c>
      <c r="E156" s="49">
        <v>0</v>
      </c>
      <c r="F156" s="41">
        <v>40.093000000000004</v>
      </c>
      <c r="G156" s="13">
        <f>SUM(C156:F156)</f>
        <v>41.523000000000003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2">
        <f>+C155+C151+C147</f>
        <v>63</v>
      </c>
      <c r="D159" s="22">
        <f>D147+D151+D155</f>
        <v>1681</v>
      </c>
      <c r="E159" s="22">
        <f>+E155+E151+E147</f>
        <v>374</v>
      </c>
      <c r="F159" s="22">
        <f>+F147+F155</f>
        <v>4144</v>
      </c>
      <c r="G159" s="22">
        <f>SUM(C159:F159)</f>
        <v>6262</v>
      </c>
    </row>
    <row r="160" spans="1:8" x14ac:dyDescent="0.25">
      <c r="B160" s="21" t="s">
        <v>91</v>
      </c>
      <c r="C160" s="22">
        <f>+C156+C152+C148</f>
        <v>1.3340000000000001</v>
      </c>
      <c r="D160" s="22">
        <f>D148+D152+D156</f>
        <v>54.886000000000003</v>
      </c>
      <c r="E160" s="22">
        <f>+E156+E152+E148</f>
        <v>9.2189999999999994</v>
      </c>
      <c r="F160" s="22">
        <f>+F148+F156</f>
        <v>95.882750000000001</v>
      </c>
      <c r="G160" s="25">
        <f>SUM(C160:F160)</f>
        <v>161.32175000000001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41">
        <v>3238</v>
      </c>
      <c r="D163" s="41">
        <v>44703</v>
      </c>
      <c r="E163" s="41">
        <v>3733</v>
      </c>
      <c r="F163" s="41">
        <v>18627</v>
      </c>
      <c r="G163" s="39">
        <f>SUM(C163:F163)</f>
        <v>70301</v>
      </c>
    </row>
    <row r="164" spans="1:8" x14ac:dyDescent="0.25">
      <c r="B164" s="17" t="s">
        <v>88</v>
      </c>
      <c r="C164" s="41">
        <f>78330698/1000000</f>
        <v>78.330697999999998</v>
      </c>
      <c r="D164" s="41">
        <v>215.68014799999997</v>
      </c>
      <c r="E164" s="41">
        <f>53741482/1000000</f>
        <v>53.741481999999998</v>
      </c>
      <c r="F164" s="41">
        <v>113.481132</v>
      </c>
      <c r="G164" s="13">
        <f>SUM(C164:F164)</f>
        <v>461.23345999999998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66"/>
      <c r="G167" s="151"/>
    </row>
    <row r="168" spans="1:8" x14ac:dyDescent="0.25">
      <c r="B168" s="36" t="s">
        <v>95</v>
      </c>
      <c r="C168" s="41">
        <v>120</v>
      </c>
      <c r="D168" s="41">
        <v>3706</v>
      </c>
      <c r="E168" s="41">
        <v>32</v>
      </c>
      <c r="F168" s="41">
        <v>478</v>
      </c>
      <c r="G168" s="79">
        <f>SUM(C168:F168)</f>
        <v>4336</v>
      </c>
    </row>
    <row r="169" spans="1:8" x14ac:dyDescent="0.25">
      <c r="B169" s="36" t="s">
        <v>96</v>
      </c>
      <c r="C169" s="41">
        <f>3000000/1000000</f>
        <v>3</v>
      </c>
      <c r="D169" s="41">
        <v>62.744999999999997</v>
      </c>
      <c r="E169" s="41">
        <f>640000/1000000</f>
        <v>0.64</v>
      </c>
      <c r="F169" s="41">
        <v>17.645</v>
      </c>
      <c r="G169" s="80">
        <f>SUM(C169:F169)</f>
        <v>84.03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66"/>
      <c r="G171" s="151"/>
    </row>
    <row r="172" spans="1:8" x14ac:dyDescent="0.25">
      <c r="B172" s="36" t="s">
        <v>98</v>
      </c>
      <c r="C172" s="41">
        <v>1482</v>
      </c>
      <c r="D172" s="41">
        <v>601</v>
      </c>
      <c r="E172" s="41">
        <v>169</v>
      </c>
      <c r="F172" s="41">
        <v>446</v>
      </c>
      <c r="G172" s="79">
        <f>SUM(C172:F172)</f>
        <v>2698</v>
      </c>
    </row>
    <row r="173" spans="1:8" x14ac:dyDescent="0.25">
      <c r="B173" s="36" t="s">
        <v>96</v>
      </c>
      <c r="C173" s="41">
        <f>32604000/1000000</f>
        <v>32.603999999999999</v>
      </c>
      <c r="D173" s="41">
        <v>12.6</v>
      </c>
      <c r="E173" s="41">
        <f>4225000/1000000</f>
        <v>4.2249999999999996</v>
      </c>
      <c r="F173" s="41">
        <v>9.7799999999999994</v>
      </c>
      <c r="G173" s="80">
        <f>SUM(C173:F173)</f>
        <v>59.209000000000003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74" t="s">
        <v>99</v>
      </c>
      <c r="C175" s="175"/>
      <c r="D175" s="175"/>
      <c r="E175" s="175"/>
      <c r="F175" s="178"/>
      <c r="G175" s="176"/>
    </row>
    <row r="176" spans="1:8" x14ac:dyDescent="0.25">
      <c r="B176" s="6" t="s">
        <v>98</v>
      </c>
      <c r="C176" s="41">
        <v>309</v>
      </c>
      <c r="D176" s="41">
        <v>330</v>
      </c>
      <c r="E176" s="41">
        <v>207</v>
      </c>
      <c r="F176" s="41">
        <v>54</v>
      </c>
      <c r="G176" s="104">
        <f>SUM(C176:F176)</f>
        <v>900</v>
      </c>
    </row>
    <row r="177" spans="1:8" x14ac:dyDescent="0.25">
      <c r="B177" s="36" t="s">
        <v>96</v>
      </c>
      <c r="C177" s="41">
        <f>21630000/1000000</f>
        <v>21.63</v>
      </c>
      <c r="D177" s="41">
        <v>26.55</v>
      </c>
      <c r="E177" s="41">
        <f>11663850/1000000</f>
        <v>11.66385</v>
      </c>
      <c r="F177" s="41">
        <v>5.42</v>
      </c>
      <c r="G177" s="90">
        <f>SUM(C177:F177)</f>
        <v>65.263850000000005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41">
        <v>362</v>
      </c>
      <c r="D180" s="41">
        <v>3317</v>
      </c>
      <c r="E180" s="41">
        <f>+E176+E172+E168+E164</f>
        <v>461.74148200000002</v>
      </c>
      <c r="F180" s="41">
        <f>+F176+F172+F168+F164</f>
        <v>1091.4811319999999</v>
      </c>
      <c r="G180" s="39">
        <f>SUM(C180:F180)</f>
        <v>5232.2226140000002</v>
      </c>
    </row>
    <row r="181" spans="1:8" x14ac:dyDescent="0.25">
      <c r="B181" s="36" t="s">
        <v>96</v>
      </c>
      <c r="C181" s="41">
        <f>11295000/1000000</f>
        <v>11.295</v>
      </c>
      <c r="D181" s="41">
        <v>77.277293999999998</v>
      </c>
      <c r="E181" s="41">
        <f>+E177+E173+E169+E165</f>
        <v>16.528849999999998</v>
      </c>
      <c r="F181" s="41">
        <f>+F177+F173+F169+F165</f>
        <v>32.844999999999999</v>
      </c>
      <c r="G181" s="13">
        <f>SUM(C181:F181)</f>
        <v>137.946144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22">
        <f>+C180+C176+C172+C168</f>
        <v>2273</v>
      </c>
      <c r="D184" s="22">
        <f>D168+D172+D176+D180</f>
        <v>7954</v>
      </c>
      <c r="E184" s="22">
        <f t="shared" ref="E184:E185" si="5">+E180+E176+E172+E168</f>
        <v>869.74148200000002</v>
      </c>
      <c r="F184" s="22">
        <f>F163+F168+F172+F176+F159</f>
        <v>23749</v>
      </c>
      <c r="G184" s="22">
        <f>SUM(C184:F184)</f>
        <v>34845.741481999998</v>
      </c>
    </row>
    <row r="185" spans="1:8" x14ac:dyDescent="0.25">
      <c r="B185" s="21" t="s">
        <v>103</v>
      </c>
      <c r="C185" s="22">
        <f>+C181+C177+C173+C169</f>
        <v>68.528999999999996</v>
      </c>
      <c r="D185" s="22">
        <f>D169+D173+D177+D181</f>
        <v>179.17229399999999</v>
      </c>
      <c r="E185" s="22">
        <f t="shared" si="5"/>
        <v>33.057699999999997</v>
      </c>
      <c r="F185" s="22">
        <f>F164+F169+F173+F177+F160</f>
        <v>242.20888200000002</v>
      </c>
      <c r="G185" s="25">
        <f>SUM(C185:F185)</f>
        <v>522.96787599999993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41">
        <v>464</v>
      </c>
      <c r="D188" s="41">
        <v>294</v>
      </c>
      <c r="E188" s="41">
        <v>59</v>
      </c>
      <c r="F188" s="41">
        <f>F167+F172+F176+F180+F163</f>
        <v>20218.481132000001</v>
      </c>
      <c r="G188" s="39">
        <f>SUM(C188:F188)</f>
        <v>21035.481132000001</v>
      </c>
    </row>
    <row r="189" spans="1:8" x14ac:dyDescent="0.25">
      <c r="B189" s="17" t="s">
        <v>106</v>
      </c>
      <c r="C189" s="41">
        <f>5057796/1000000</f>
        <v>5.0577959999999997</v>
      </c>
      <c r="D189" s="41">
        <v>3.6179999999999999</v>
      </c>
      <c r="E189" s="41">
        <f>2400000/1000000</f>
        <v>2.4</v>
      </c>
      <c r="F189" s="41">
        <f>F168+F173+F177+F181+F164</f>
        <v>639.52613199999996</v>
      </c>
      <c r="G189" s="13">
        <f>SUM(C189:F189)</f>
        <v>650.60192799999993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6038</v>
      </c>
      <c r="D192" s="22">
        <f>+D188+D184+D163+D159</f>
        <v>54632</v>
      </c>
      <c r="E192" s="22">
        <f t="shared" ref="E192:E193" si="6">+E188+E184+E163+E159</f>
        <v>5035.7414820000004</v>
      </c>
      <c r="F192" s="22">
        <f>F159+F163+F184+F188</f>
        <v>66738.481132000001</v>
      </c>
      <c r="G192" s="22">
        <f>SUM(C192:F192)</f>
        <v>132444.222614</v>
      </c>
    </row>
    <row r="193" spans="2:7" x14ac:dyDescent="0.25">
      <c r="B193" s="21" t="s">
        <v>109</v>
      </c>
      <c r="C193" s="22">
        <f>153251494/1000000</f>
        <v>153.25149400000001</v>
      </c>
      <c r="D193" s="22">
        <f>+D189+D185+D164+D160</f>
        <v>453.35644199999996</v>
      </c>
      <c r="E193" s="22">
        <f t="shared" si="6"/>
        <v>98.418181999999987</v>
      </c>
      <c r="F193" s="22">
        <f>F160+F185+F164+F189</f>
        <v>1091.098896</v>
      </c>
      <c r="G193" s="25">
        <f>SUM(C193:F193)</f>
        <v>1796.125014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7:G37"/>
    <mergeCell ref="B38:G38"/>
    <mergeCell ref="B41:H41"/>
    <mergeCell ref="B42:G42"/>
    <mergeCell ref="B46:G46"/>
    <mergeCell ref="B49:H49"/>
    <mergeCell ref="B50:G50"/>
    <mergeCell ref="B51:H51"/>
    <mergeCell ref="B52:G52"/>
    <mergeCell ref="B105:G105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104:G104"/>
    <mergeCell ref="B134:H134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32:G132"/>
    <mergeCell ref="B153:H153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50:G150"/>
    <mergeCell ref="B175:G175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74:H174"/>
    <mergeCell ref="B190:H190"/>
    <mergeCell ref="B191:G191"/>
    <mergeCell ref="B178:H178"/>
    <mergeCell ref="B179:G179"/>
    <mergeCell ref="B182:H182"/>
    <mergeCell ref="B183:G183"/>
    <mergeCell ref="B186:H186"/>
    <mergeCell ref="B187:G18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ABEB-1994-4E5A-AD61-BE7EA2DACA46}">
  <dimension ref="A1:BD197"/>
  <sheetViews>
    <sheetView topLeftCell="B1" zoomScaleNormal="100" workbookViewId="0">
      <selection activeCell="D44" sqref="D44"/>
    </sheetView>
  </sheetViews>
  <sheetFormatPr baseColWidth="10" defaultColWidth="9.140625" defaultRowHeight="15" x14ac:dyDescent="0.25"/>
  <cols>
    <col min="1" max="1" width="4.1406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111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129">
        <v>55737</v>
      </c>
      <c r="D6" s="41">
        <v>8228</v>
      </c>
      <c r="E6" s="20">
        <v>9406</v>
      </c>
      <c r="F6" s="15">
        <v>10717</v>
      </c>
      <c r="G6" s="15">
        <f>+F6+E6+D6+C6</f>
        <v>84088</v>
      </c>
    </row>
    <row r="7" spans="1:7" x14ac:dyDescent="0.25">
      <c r="B7" s="36" t="s">
        <v>10</v>
      </c>
      <c r="C7" s="115">
        <v>527</v>
      </c>
      <c r="D7" s="41">
        <v>231</v>
      </c>
      <c r="E7" s="20">
        <v>11</v>
      </c>
      <c r="F7" s="15">
        <v>129</v>
      </c>
      <c r="G7" s="15">
        <f>+F7+E7+D7+C7</f>
        <v>898</v>
      </c>
    </row>
    <row r="8" spans="1:7" x14ac:dyDescent="0.25">
      <c r="B8" s="21" t="s">
        <v>11</v>
      </c>
      <c r="C8" s="30">
        <f>SUM(C6:C7)</f>
        <v>56264</v>
      </c>
      <c r="D8" s="30">
        <f>+D6+D7</f>
        <v>8459</v>
      </c>
      <c r="E8" s="30">
        <f>SUM(E6:E7)</f>
        <v>9417</v>
      </c>
      <c r="F8" s="30">
        <f>SUM(F6:F7)</f>
        <v>10846</v>
      </c>
      <c r="G8" s="30">
        <f>+F8+E8+D8+C8</f>
        <v>84986</v>
      </c>
    </row>
    <row r="9" spans="1:7" x14ac:dyDescent="0.25">
      <c r="B9" s="179"/>
      <c r="C9" s="179"/>
      <c r="D9" s="179"/>
      <c r="E9" s="179"/>
      <c r="F9" s="179"/>
      <c r="G9" s="17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927098</v>
      </c>
      <c r="D12" s="66">
        <v>148981</v>
      </c>
      <c r="E12" s="81">
        <v>54709</v>
      </c>
      <c r="F12" s="20">
        <v>0</v>
      </c>
      <c r="G12" s="20">
        <f>SUM(C12:F12)</f>
        <v>1130788</v>
      </c>
    </row>
    <row r="13" spans="1:7" x14ac:dyDescent="0.25">
      <c r="B13" s="19" t="s">
        <v>15</v>
      </c>
      <c r="C13" s="15">
        <v>1969178</v>
      </c>
      <c r="D13" s="66">
        <v>495809</v>
      </c>
      <c r="E13" s="81">
        <v>200985</v>
      </c>
      <c r="F13" s="20">
        <v>0</v>
      </c>
      <c r="G13" s="20">
        <f>SUM(C13:F13)</f>
        <v>2665972</v>
      </c>
    </row>
    <row r="14" spans="1:7" x14ac:dyDescent="0.25">
      <c r="B14" s="21" t="s">
        <v>16</v>
      </c>
      <c r="C14" s="22">
        <f>C13+C12</f>
        <v>2896276</v>
      </c>
      <c r="D14" s="22">
        <v>884561</v>
      </c>
      <c r="E14" s="22">
        <f>SUM(E12:E13)</f>
        <v>255694</v>
      </c>
      <c r="F14" s="69">
        <v>346436</v>
      </c>
      <c r="G14" s="22">
        <f>SUM(C14:F14)</f>
        <v>4382967</v>
      </c>
    </row>
    <row r="15" spans="1:7" x14ac:dyDescent="0.25">
      <c r="B15" s="21" t="s">
        <v>17</v>
      </c>
      <c r="C15" s="22">
        <v>393502</v>
      </c>
      <c r="D15" s="22">
        <v>139662</v>
      </c>
      <c r="E15" s="22">
        <v>2781</v>
      </c>
      <c r="F15" s="69">
        <v>84060</v>
      </c>
      <c r="G15" s="22">
        <f>SUM(C15:F15)</f>
        <v>620005</v>
      </c>
    </row>
    <row r="16" spans="1:7" x14ac:dyDescent="0.25">
      <c r="B16" s="21" t="s">
        <v>18</v>
      </c>
      <c r="C16" s="22">
        <f>C15+C14</f>
        <v>3289778</v>
      </c>
      <c r="D16" s="22">
        <f>+D14+D15</f>
        <v>1024223</v>
      </c>
      <c r="E16" s="22">
        <f>SUM(E14:E15)</f>
        <v>258475</v>
      </c>
      <c r="F16" s="22">
        <f>SUM(F12:F15)</f>
        <v>430496</v>
      </c>
      <c r="G16" s="22">
        <f>SUM(C16:F16)</f>
        <v>5002972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41">
        <v>3706</v>
      </c>
      <c r="D19" s="41">
        <v>2571</v>
      </c>
      <c r="E19" s="28">
        <v>0</v>
      </c>
      <c r="F19" s="28">
        <v>0</v>
      </c>
      <c r="G19" s="76">
        <f>SUM(C19:F19)</f>
        <v>6277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69">
        <f>+C19+C16</f>
        <v>3293484</v>
      </c>
      <c r="D21" s="69">
        <v>1026794</v>
      </c>
      <c r="E21" s="69">
        <f>+E19+E16</f>
        <v>258475</v>
      </c>
      <c r="F21" s="22">
        <f>F16</f>
        <v>430496</v>
      </c>
      <c r="G21" s="22">
        <f>SUM(C21:F21)</f>
        <v>5009249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22">
        <v>411186</v>
      </c>
      <c r="D24" s="22">
        <v>225525</v>
      </c>
      <c r="E24" s="22">
        <v>136386</v>
      </c>
      <c r="F24" s="22">
        <v>664444</v>
      </c>
      <c r="G24" s="69">
        <f>SUM(C24:F24)</f>
        <v>1437541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22">
        <f>+C24+C21</f>
        <v>3704670</v>
      </c>
      <c r="D27" s="22">
        <f>+D24+D21</f>
        <v>1252319</v>
      </c>
      <c r="E27" s="22">
        <f>+E21+E24</f>
        <v>394861</v>
      </c>
      <c r="F27" s="22">
        <f>+F24+F21</f>
        <v>1094940</v>
      </c>
      <c r="G27" s="22">
        <f>SUM(C27:F27)</f>
        <v>6446790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71" t="s">
        <v>26</v>
      </c>
      <c r="C29" s="172"/>
      <c r="D29" s="172"/>
      <c r="E29" s="172"/>
      <c r="F29" s="172"/>
      <c r="G29" s="173"/>
    </row>
    <row r="30" spans="2:8" x14ac:dyDescent="0.25">
      <c r="B30" s="6" t="s">
        <v>27</v>
      </c>
      <c r="C30" s="41">
        <v>1360832</v>
      </c>
      <c r="D30" s="41">
        <v>241306</v>
      </c>
      <c r="E30" s="81">
        <v>103460</v>
      </c>
      <c r="F30" s="41">
        <v>238873</v>
      </c>
      <c r="G30" s="88">
        <f>SUM(C30:F30)</f>
        <v>1944471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2644409683162</v>
      </c>
      <c r="D33" s="41">
        <v>475637910933</v>
      </c>
      <c r="E33" s="81">
        <v>194565858874</v>
      </c>
      <c r="F33" s="41">
        <v>298526668064</v>
      </c>
      <c r="G33" s="41"/>
    </row>
    <row r="34" spans="1:9" x14ac:dyDescent="0.25">
      <c r="B34" s="36" t="s">
        <v>30</v>
      </c>
      <c r="C34" s="41">
        <v>123070613030</v>
      </c>
      <c r="D34" s="41">
        <v>58764409103</v>
      </c>
      <c r="E34" s="81">
        <v>29722495600</v>
      </c>
      <c r="F34" s="41">
        <v>120209681880</v>
      </c>
      <c r="G34" s="41"/>
    </row>
    <row r="35" spans="1:9" x14ac:dyDescent="0.25">
      <c r="B35" s="21" t="s">
        <v>31</v>
      </c>
      <c r="C35" s="22">
        <f>SUM(C33:C34)</f>
        <v>2767480296192</v>
      </c>
      <c r="D35" s="22">
        <f>+D34+D33</f>
        <v>534402320036</v>
      </c>
      <c r="E35" s="22">
        <f>+E33+E34</f>
        <v>224288354474</v>
      </c>
      <c r="F35" s="22">
        <f>SUM(F33:F34)</f>
        <v>418736349944</v>
      </c>
      <c r="G35" s="22">
        <f>SUM(C35:F35)</f>
        <v>3944907320646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612344</v>
      </c>
      <c r="D39" s="41">
        <v>141220</v>
      </c>
      <c r="E39" s="81">
        <v>61451</v>
      </c>
      <c r="F39" s="41">
        <v>83475</v>
      </c>
      <c r="G39" s="39">
        <f>SUM(C39:F39)</f>
        <v>898490</v>
      </c>
      <c r="H39" s="9"/>
      <c r="I39" s="9"/>
    </row>
    <row r="40" spans="1:9" x14ac:dyDescent="0.25">
      <c r="B40" s="36" t="s">
        <v>35</v>
      </c>
      <c r="C40" s="41">
        <f>2367138449/1000000</f>
        <v>2367.138449</v>
      </c>
      <c r="D40" s="34">
        <v>808.72266400000001</v>
      </c>
      <c r="E40" s="81">
        <v>340</v>
      </c>
      <c r="F40" s="15">
        <v>483.78258399999999</v>
      </c>
      <c r="G40" s="13">
        <f>SUM(C40:F40)</f>
        <v>3999.643697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136" t="s">
        <v>37</v>
      </c>
      <c r="C43" s="41">
        <v>106</v>
      </c>
      <c r="D43" s="41">
        <v>29</v>
      </c>
      <c r="E43" s="81">
        <v>7</v>
      </c>
      <c r="F43" s="41">
        <v>4</v>
      </c>
      <c r="G43" s="41">
        <f>SUM(C43:F43)</f>
        <v>146</v>
      </c>
      <c r="H43" s="134"/>
      <c r="I43" s="9"/>
    </row>
    <row r="44" spans="1:9" x14ac:dyDescent="0.25">
      <c r="B44" s="136" t="s">
        <v>38</v>
      </c>
      <c r="C44" s="41">
        <f>5088709/1000000</f>
        <v>5.0887089999999997</v>
      </c>
      <c r="D44" s="16">
        <v>0.43</v>
      </c>
      <c r="E44" s="82">
        <v>0.1</v>
      </c>
      <c r="F44" s="41">
        <v>0.121561</v>
      </c>
      <c r="G44" s="41">
        <f>SUM(C44:F44)</f>
        <v>5.7402699999999989</v>
      </c>
      <c r="H44" s="134"/>
      <c r="I44" s="9"/>
    </row>
    <row r="45" spans="1:9" x14ac:dyDescent="0.25">
      <c r="A45" s="4"/>
      <c r="B45" s="137"/>
      <c r="C45" s="134"/>
      <c r="D45" s="134"/>
      <c r="E45" s="134"/>
      <c r="F45" s="134"/>
      <c r="G45" s="134"/>
      <c r="H45" s="134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94307</v>
      </c>
      <c r="D47" s="41">
        <v>59564</v>
      </c>
      <c r="E47" s="83">
        <v>9728</v>
      </c>
      <c r="F47" s="41">
        <v>47458</v>
      </c>
      <c r="G47" s="41">
        <f>SUM(C47:F47)</f>
        <v>211057</v>
      </c>
      <c r="H47" s="9"/>
      <c r="I47" s="9"/>
    </row>
    <row r="48" spans="1:9" x14ac:dyDescent="0.25">
      <c r="B48" s="36" t="s">
        <v>41</v>
      </c>
      <c r="C48" s="41">
        <f>(45818000714+803605833)/1000000</f>
        <v>46621.606547000003</v>
      </c>
      <c r="D48" s="41">
        <v>18830.066494999999</v>
      </c>
      <c r="E48" s="83">
        <v>6640.5329700000002</v>
      </c>
      <c r="F48" s="15">
        <v>6635.2835649999997</v>
      </c>
      <c r="G48" s="13">
        <f>SUM(C48:F48)</f>
        <v>78727.489577000015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81682</v>
      </c>
      <c r="D54" s="41">
        <v>4055</v>
      </c>
      <c r="E54" s="42">
        <v>1475</v>
      </c>
      <c r="F54" s="41">
        <v>2492</v>
      </c>
      <c r="G54" s="41">
        <f t="shared" ref="G54:G70" si="0">SUM(C54:F54)</f>
        <v>89704</v>
      </c>
    </row>
    <row r="55" spans="1:8" x14ac:dyDescent="0.25">
      <c r="B55" s="36" t="s">
        <v>46</v>
      </c>
      <c r="C55" s="41">
        <v>50876.223464000002</v>
      </c>
      <c r="D55" s="41">
        <v>8205.2039999999997</v>
      </c>
      <c r="E55" s="42">
        <v>3398.1329049999999</v>
      </c>
      <c r="F55" s="41">
        <v>5556</v>
      </c>
      <c r="G55" s="41">
        <f t="shared" si="0"/>
        <v>68035.560368999999</v>
      </c>
    </row>
    <row r="56" spans="1:8" x14ac:dyDescent="0.25">
      <c r="B56" s="36" t="s">
        <v>47</v>
      </c>
      <c r="C56" s="41">
        <v>11.734054014348301</v>
      </c>
      <c r="D56" s="41">
        <v>41.371690424360473</v>
      </c>
      <c r="E56" s="59">
        <v>32</v>
      </c>
      <c r="F56" s="41">
        <v>31</v>
      </c>
      <c r="G56" s="41">
        <f>AVERAGE(C56:F56)</f>
        <v>29.026436109677192</v>
      </c>
    </row>
    <row r="57" spans="1:8" x14ac:dyDescent="0.25">
      <c r="B57" s="36" t="s">
        <v>48</v>
      </c>
      <c r="C57" s="41">
        <v>879697</v>
      </c>
      <c r="D57" s="41">
        <v>170347</v>
      </c>
      <c r="E57" s="42">
        <v>54785</v>
      </c>
      <c r="F57" s="41">
        <v>81376</v>
      </c>
      <c r="G57" s="41">
        <f t="shared" si="0"/>
        <v>1186205</v>
      </c>
    </row>
    <row r="58" spans="1:8" x14ac:dyDescent="0.25">
      <c r="B58" s="36" t="s">
        <v>49</v>
      </c>
      <c r="C58" s="41">
        <v>1381631.1942680001</v>
      </c>
      <c r="D58" s="41">
        <v>298392.426538</v>
      </c>
      <c r="E58" s="60">
        <v>89951.468426000007</v>
      </c>
      <c r="F58" s="41">
        <v>142540</v>
      </c>
      <c r="G58" s="13">
        <f t="shared" si="0"/>
        <v>1912515.0892320003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4866</v>
      </c>
      <c r="D66" s="41">
        <v>2659</v>
      </c>
      <c r="E66" s="42">
        <v>2431</v>
      </c>
      <c r="F66" s="42">
        <v>9222</v>
      </c>
      <c r="G66" s="39">
        <f t="shared" si="0"/>
        <v>19178</v>
      </c>
    </row>
    <row r="67" spans="1:8" x14ac:dyDescent="0.25">
      <c r="B67" s="36" t="s">
        <v>46</v>
      </c>
      <c r="C67" s="41">
        <v>2756.4682130000001</v>
      </c>
      <c r="D67" s="41">
        <v>3842.4119999999998</v>
      </c>
      <c r="E67" s="42">
        <v>2837.7116470000001</v>
      </c>
      <c r="F67" s="42">
        <v>10180</v>
      </c>
      <c r="G67" s="39">
        <f t="shared" si="0"/>
        <v>19616.59186</v>
      </c>
    </row>
    <row r="68" spans="1:8" x14ac:dyDescent="0.25">
      <c r="B68" s="36" t="s">
        <v>47</v>
      </c>
      <c r="C68" s="41">
        <v>33.9155363748459</v>
      </c>
      <c r="D68" s="41">
        <v>55.301298406779082</v>
      </c>
      <c r="E68" s="42">
        <v>55</v>
      </c>
      <c r="F68" s="41">
        <v>44</v>
      </c>
      <c r="G68" s="39">
        <f>AVERAGE(C68:F68)</f>
        <v>47.054208695406246</v>
      </c>
    </row>
    <row r="69" spans="1:8" x14ac:dyDescent="0.25">
      <c r="B69" s="36" t="s">
        <v>48</v>
      </c>
      <c r="C69" s="41">
        <v>124729</v>
      </c>
      <c r="D69" s="41">
        <v>94695</v>
      </c>
      <c r="E69" s="42">
        <v>59312</v>
      </c>
      <c r="F69" s="15">
        <v>264236</v>
      </c>
      <c r="G69" s="39">
        <f t="shared" si="0"/>
        <v>542972</v>
      </c>
    </row>
    <row r="70" spans="1:8" x14ac:dyDescent="0.25">
      <c r="B70" s="36" t="s">
        <v>49</v>
      </c>
      <c r="C70" s="41">
        <v>91210.228715999998</v>
      </c>
      <c r="D70" s="41">
        <v>80030.269392000002</v>
      </c>
      <c r="E70" s="42">
        <v>47486.926415000002</v>
      </c>
      <c r="F70" s="9">
        <v>174361</v>
      </c>
      <c r="G70" s="40">
        <f t="shared" si="0"/>
        <v>393088.42452300002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86548</v>
      </c>
      <c r="D72" s="22">
        <f>+D66+D60+D54</f>
        <v>6714</v>
      </c>
      <c r="E72" s="22">
        <f t="shared" ref="E72:E73" si="1">+E66+E60+E54</f>
        <v>3906</v>
      </c>
      <c r="F72" s="22">
        <f>+F54+F66</f>
        <v>11714</v>
      </c>
      <c r="G72" s="22">
        <f>SUM(C72:F72)</f>
        <v>108882</v>
      </c>
    </row>
    <row r="73" spans="1:8" x14ac:dyDescent="0.25">
      <c r="B73" s="21" t="s">
        <v>46</v>
      </c>
      <c r="C73" s="22">
        <v>53632.691677000003</v>
      </c>
      <c r="D73" s="22">
        <f t="shared" ref="D73:E76" si="2">+D67+D61+D55</f>
        <v>12047.616</v>
      </c>
      <c r="E73" s="22">
        <f t="shared" si="1"/>
        <v>6235.8445520000005</v>
      </c>
      <c r="F73" s="22">
        <f>+F55+F67</f>
        <v>15736</v>
      </c>
      <c r="G73" s="25">
        <f>SUM(C73:F73)</f>
        <v>87652.152228999999</v>
      </c>
    </row>
    <row r="74" spans="1:8" x14ac:dyDescent="0.25">
      <c r="B74" s="21" t="s">
        <v>47</v>
      </c>
      <c r="C74" s="22">
        <v>12.981166520312399</v>
      </c>
      <c r="D74" s="22">
        <f>(+D56+D62+D68)/3</f>
        <v>32.224329610379847</v>
      </c>
      <c r="E74" s="22">
        <v>46</v>
      </c>
      <c r="F74" s="22">
        <f>(F56+F68)/2</f>
        <v>37.5</v>
      </c>
      <c r="G74" s="22">
        <f>AVERAGE(C74:F74)</f>
        <v>32.17637403267306</v>
      </c>
    </row>
    <row r="75" spans="1:8" x14ac:dyDescent="0.25">
      <c r="B75" s="21" t="s">
        <v>48</v>
      </c>
      <c r="C75" s="22">
        <v>1004426</v>
      </c>
      <c r="D75" s="22">
        <f t="shared" si="2"/>
        <v>265042</v>
      </c>
      <c r="E75" s="22">
        <f t="shared" si="2"/>
        <v>114097</v>
      </c>
      <c r="F75" s="22">
        <f>+F57+F69</f>
        <v>345612</v>
      </c>
      <c r="G75" s="22">
        <f>SUM(C75:F75)</f>
        <v>1729177</v>
      </c>
    </row>
    <row r="76" spans="1:8" x14ac:dyDescent="0.25">
      <c r="B76" s="21" t="s">
        <v>49</v>
      </c>
      <c r="C76" s="22">
        <v>1472841.4229840001</v>
      </c>
      <c r="D76" s="22">
        <f>+D70+D64+D58</f>
        <v>378422.69592999999</v>
      </c>
      <c r="E76" s="22">
        <f t="shared" si="2"/>
        <v>137438.394841</v>
      </c>
      <c r="F76" s="22">
        <f>+F58+F70</f>
        <v>316901</v>
      </c>
      <c r="G76" s="25">
        <f>SUM(C76:F76)</f>
        <v>2305603.5137550002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A80" s="1">
        <v>0</v>
      </c>
      <c r="B80" s="36" t="s">
        <v>45</v>
      </c>
      <c r="C80" s="41">
        <v>0</v>
      </c>
      <c r="D80" s="36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41">
        <v>0</v>
      </c>
      <c r="D81" s="36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41">
        <v>0</v>
      </c>
      <c r="D82" s="36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29">
        <v>1106</v>
      </c>
      <c r="D83" s="41">
        <v>136</v>
      </c>
      <c r="E83" s="51">
        <v>7</v>
      </c>
      <c r="F83" s="29">
        <v>117</v>
      </c>
      <c r="G83" s="29">
        <f>SUM(C83:F83)</f>
        <v>1366</v>
      </c>
    </row>
    <row r="84" spans="2:7" x14ac:dyDescent="0.25">
      <c r="B84" s="36" t="s">
        <v>49</v>
      </c>
      <c r="C84" s="29">
        <v>21734.673225999999</v>
      </c>
      <c r="D84" s="41">
        <v>1570</v>
      </c>
      <c r="E84" s="51">
        <v>86</v>
      </c>
      <c r="F84" s="41">
        <v>1980.82071</v>
      </c>
      <c r="G84" s="13">
        <f>SUM(C84:F84)</f>
        <v>25371.493935999999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29">
        <v>13</v>
      </c>
      <c r="D95" s="64">
        <v>0</v>
      </c>
      <c r="E95" s="23">
        <v>0</v>
      </c>
      <c r="F95" s="29">
        <v>7</v>
      </c>
      <c r="G95" s="39">
        <f>SUM(C95:F95)</f>
        <v>20</v>
      </c>
    </row>
    <row r="96" spans="2:7" x14ac:dyDescent="0.25">
      <c r="B96" s="36" t="s">
        <v>49</v>
      </c>
      <c r="C96" s="29">
        <v>189.63475800000001</v>
      </c>
      <c r="D96" s="64">
        <v>0</v>
      </c>
      <c r="E96" s="23">
        <v>0</v>
      </c>
      <c r="F96" s="29">
        <v>92.041483999999997</v>
      </c>
      <c r="G96" s="13">
        <f>SUM(C96:F96)</f>
        <v>281.676242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2">
        <v>0</v>
      </c>
      <c r="D98" s="22">
        <f>+D92+D86+D80</f>
        <v>0</v>
      </c>
      <c r="E98" s="22">
        <v>0</v>
      </c>
      <c r="F98" s="22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22">
        <f t="shared" ref="D99:D102" si="3">+D93+D87+D81</f>
        <v>0</v>
      </c>
      <c r="E99" s="22">
        <v>0</v>
      </c>
      <c r="F99" s="22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22">
        <f t="shared" si="3"/>
        <v>0</v>
      </c>
      <c r="E100" s="22">
        <v>0</v>
      </c>
      <c r="F100" s="22">
        <v>0</v>
      </c>
      <c r="G100" s="22">
        <f>AVERAGE(C100:F100)</f>
        <v>0</v>
      </c>
    </row>
    <row r="101" spans="1:8" x14ac:dyDescent="0.25">
      <c r="B101" s="21" t="s">
        <v>48</v>
      </c>
      <c r="C101" s="22">
        <v>1119</v>
      </c>
      <c r="D101" s="22">
        <f t="shared" si="3"/>
        <v>136</v>
      </c>
      <c r="E101" s="22">
        <v>7</v>
      </c>
      <c r="F101" s="22">
        <v>0</v>
      </c>
      <c r="G101" s="22">
        <f>SUM(C101:F101)</f>
        <v>1262</v>
      </c>
    </row>
    <row r="102" spans="1:8" x14ac:dyDescent="0.25">
      <c r="B102" s="21" t="s">
        <v>49</v>
      </c>
      <c r="C102" s="22">
        <v>21924.307983999999</v>
      </c>
      <c r="D102" s="22">
        <f t="shared" si="3"/>
        <v>1570</v>
      </c>
      <c r="E102" s="22">
        <v>86</v>
      </c>
      <c r="F102" s="22">
        <v>0</v>
      </c>
      <c r="G102" s="25">
        <f>SUM(C102:F102)</f>
        <v>23580.307983999999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11">
        <v>1.5248336650553931</v>
      </c>
      <c r="D106" s="16">
        <v>2.5755343511450448</v>
      </c>
      <c r="E106" s="45">
        <v>2.46</v>
      </c>
      <c r="F106" s="16">
        <v>1.89</v>
      </c>
      <c r="G106" s="74">
        <f>AVERAGE(C106:F106)</f>
        <v>2.1125920040501094</v>
      </c>
    </row>
    <row r="107" spans="1:8" x14ac:dyDescent="0.25">
      <c r="B107" s="36" t="s">
        <v>58</v>
      </c>
      <c r="C107" s="111">
        <v>1.7972459450512697</v>
      </c>
      <c r="D107" s="16">
        <v>2.410309278350518</v>
      </c>
      <c r="E107" s="48">
        <v>2.31</v>
      </c>
      <c r="F107" s="16">
        <v>2.1800000000000002</v>
      </c>
      <c r="G107" s="74">
        <f>AVERAGE(C107:F107)</f>
        <v>2.1743888058504468</v>
      </c>
    </row>
    <row r="108" spans="1:8" x14ac:dyDescent="0.25">
      <c r="B108" s="36" t="s">
        <v>59</v>
      </c>
      <c r="C108" s="111">
        <v>1.5483233250689241</v>
      </c>
      <c r="D108" s="16">
        <v>2.2977319587628893</v>
      </c>
      <c r="E108" s="45">
        <v>2.21</v>
      </c>
      <c r="F108" s="16">
        <v>2.1800000000000002</v>
      </c>
      <c r="G108" s="74">
        <f>AVERAGE(C108:F108)</f>
        <v>2.0590138209579534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1.1678571428571427</v>
      </c>
      <c r="D110" s="16">
        <v>1.62</v>
      </c>
      <c r="E110" s="45">
        <v>1.6</v>
      </c>
      <c r="F110" s="16">
        <v>1.56</v>
      </c>
      <c r="G110" s="74">
        <f>AVERAGE(C110:F110)</f>
        <v>1.486964285714286</v>
      </c>
    </row>
    <row r="111" spans="1:8" x14ac:dyDescent="0.25">
      <c r="B111" s="36" t="s">
        <v>58</v>
      </c>
      <c r="C111" s="16">
        <v>1.4500000000000011</v>
      </c>
      <c r="D111" s="16">
        <v>1.6200000000000006</v>
      </c>
      <c r="E111" s="45">
        <v>1.6</v>
      </c>
      <c r="F111" s="16">
        <v>1.56</v>
      </c>
      <c r="G111" s="74">
        <f>AVERAGE(C111:F111)</f>
        <v>1.5575000000000006</v>
      </c>
    </row>
    <row r="112" spans="1:8" x14ac:dyDescent="0.25">
      <c r="B112" s="36" t="s">
        <v>59</v>
      </c>
      <c r="C112" s="16">
        <v>1.0998814589665504</v>
      </c>
      <c r="D112" s="16">
        <v>1.6200000000000014</v>
      </c>
      <c r="E112" s="45">
        <v>1.59</v>
      </c>
      <c r="F112" s="16">
        <v>1.56</v>
      </c>
      <c r="G112" s="74">
        <f>AVERAGE(C112:F112)</f>
        <v>1.4674703647416378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1.0812238805970382</v>
      </c>
      <c r="D115" s="16">
        <v>1.6599999999999979</v>
      </c>
      <c r="E115" s="48">
        <v>1.65</v>
      </c>
      <c r="F115" s="16">
        <v>1.64</v>
      </c>
      <c r="G115" s="74">
        <f>AVERAGE(C115:F115)</f>
        <v>1.5078059701492588</v>
      </c>
    </row>
    <row r="116" spans="1:9" x14ac:dyDescent="0.25">
      <c r="B116" s="36" t="s">
        <v>58</v>
      </c>
      <c r="C116" s="16">
        <v>1.389628942486109</v>
      </c>
      <c r="D116" s="16">
        <v>1.6599999999999977</v>
      </c>
      <c r="E116" s="48">
        <v>1.65</v>
      </c>
      <c r="F116" s="16">
        <v>1.64</v>
      </c>
      <c r="G116" s="74">
        <f>AVERAGE(C116:F116)</f>
        <v>1.5849072356215266</v>
      </c>
    </row>
    <row r="117" spans="1:9" x14ac:dyDescent="0.25">
      <c r="B117" s="36" t="s">
        <v>59</v>
      </c>
      <c r="C117" s="16">
        <v>1.3723585810163006</v>
      </c>
      <c r="D117" s="16">
        <v>1.6600000000000179</v>
      </c>
      <c r="E117" s="48">
        <v>1.65</v>
      </c>
      <c r="F117" s="16">
        <v>1.64</v>
      </c>
      <c r="G117" s="74">
        <f>AVERAGE(C117:F117)</f>
        <v>1.5805896452540795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16">
        <v>0</v>
      </c>
      <c r="D119" s="16">
        <v>1.18</v>
      </c>
      <c r="E119" s="37">
        <v>0</v>
      </c>
      <c r="F119" s="16">
        <v>0.99</v>
      </c>
      <c r="G119" s="74">
        <f>AVERAGE(C119:F119)</f>
        <v>0.54249999999999998</v>
      </c>
      <c r="I119" s="10"/>
    </row>
    <row r="120" spans="1:9" x14ac:dyDescent="0.25">
      <c r="B120" s="36" t="s">
        <v>58</v>
      </c>
      <c r="C120" s="16">
        <v>0.99</v>
      </c>
      <c r="D120" s="16">
        <v>1.18</v>
      </c>
      <c r="E120" s="45">
        <v>1.3</v>
      </c>
      <c r="F120" s="16">
        <v>1.39</v>
      </c>
      <c r="G120" s="74">
        <f>AVERAGE(C120:F120)</f>
        <v>1.2149999999999999</v>
      </c>
      <c r="I120" s="10"/>
    </row>
    <row r="121" spans="1:9" x14ac:dyDescent="0.25">
      <c r="B121" s="36" t="s">
        <v>59</v>
      </c>
      <c r="C121" s="16">
        <v>0.9900000000000001</v>
      </c>
      <c r="D121" s="16">
        <v>1.18</v>
      </c>
      <c r="E121" s="45">
        <v>1.3</v>
      </c>
      <c r="F121" s="16">
        <v>1.39</v>
      </c>
      <c r="G121" s="74">
        <f>AVERAGE(C121:F121)</f>
        <v>1.2149999999999999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31">
        <v>0</v>
      </c>
      <c r="D124" s="31">
        <v>0</v>
      </c>
      <c r="E124" s="23">
        <v>0</v>
      </c>
      <c r="F124" s="23">
        <v>0</v>
      </c>
      <c r="G124" s="40">
        <f>AVERAGE(C124:F124)</f>
        <v>0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28">
        <v>1.64174345372331</v>
      </c>
      <c r="D126" s="128">
        <v>1.96761265002056</v>
      </c>
      <c r="E126" s="52">
        <v>1.9959579999999999</v>
      </c>
      <c r="F126" s="14">
        <v>0</v>
      </c>
      <c r="G126" s="40">
        <f>AVERAGE(C126:F126)</f>
        <v>1.4013285259359676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77"/>
      <c r="G128" s="153"/>
    </row>
    <row r="129" spans="1:9" x14ac:dyDescent="0.25">
      <c r="B129" s="36" t="s">
        <v>68</v>
      </c>
      <c r="C129" s="41">
        <v>307364</v>
      </c>
      <c r="D129" s="41">
        <v>10984</v>
      </c>
      <c r="E129" s="41">
        <v>8636</v>
      </c>
      <c r="F129" s="41">
        <v>1081</v>
      </c>
      <c r="G129" s="79">
        <f>SUM(C129:F129)</f>
        <v>328065</v>
      </c>
    </row>
    <row r="130" spans="1:9" x14ac:dyDescent="0.25">
      <c r="B130" s="36" t="s">
        <v>69</v>
      </c>
      <c r="C130" s="41">
        <v>197914.33465100001</v>
      </c>
      <c r="D130" s="41">
        <v>4481.4709000000003</v>
      </c>
      <c r="E130" s="41">
        <v>1298</v>
      </c>
      <c r="F130" s="41">
        <v>1368.6705529999999</v>
      </c>
      <c r="G130" s="80">
        <f>SUM(C130:F130)</f>
        <v>205062.476104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41">
        <v>688104</v>
      </c>
      <c r="D133" s="41">
        <v>165119</v>
      </c>
      <c r="E133" s="41">
        <f>27272+113442</f>
        <v>140714</v>
      </c>
      <c r="F133" s="41">
        <v>332103</v>
      </c>
      <c r="G133" s="39">
        <f>SUM(C133:F133)</f>
        <v>1326040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41">
        <v>0</v>
      </c>
      <c r="D137" s="41">
        <v>5633</v>
      </c>
      <c r="E137" s="41">
        <v>0</v>
      </c>
      <c r="F137" s="41">
        <v>15963</v>
      </c>
      <c r="G137" s="41">
        <f>SUM(C137:F137)</f>
        <v>21596</v>
      </c>
      <c r="H137" s="9"/>
      <c r="I137" s="9"/>
    </row>
    <row r="138" spans="1:9" x14ac:dyDescent="0.25">
      <c r="B138" s="36" t="s">
        <v>75</v>
      </c>
      <c r="C138" s="41">
        <v>0</v>
      </c>
      <c r="D138" s="41">
        <v>6</v>
      </c>
      <c r="E138" s="41">
        <v>0</v>
      </c>
      <c r="F138" s="41">
        <v>223</v>
      </c>
      <c r="G138" s="41">
        <f>SUM(C138:F138)</f>
        <v>229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41">
        <v>54</v>
      </c>
      <c r="D147" s="41">
        <v>541</v>
      </c>
      <c r="E147" s="41"/>
      <c r="F147" s="1">
        <v>889</v>
      </c>
      <c r="G147" s="39">
        <f>SUM(C147:F147)</f>
        <v>1484</v>
      </c>
    </row>
    <row r="148" spans="1:8" x14ac:dyDescent="0.25">
      <c r="B148" s="36" t="s">
        <v>82</v>
      </c>
      <c r="C148" s="41">
        <f>1163000/1000000</f>
        <v>1.163</v>
      </c>
      <c r="D148" s="41">
        <v>10.6045</v>
      </c>
      <c r="E148" s="41"/>
      <c r="F148" s="43">
        <v>12.451000000000001</v>
      </c>
      <c r="G148" s="13">
        <f>SUM(C148:F148)</f>
        <v>24.218499999999999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66">
        <v>313</v>
      </c>
      <c r="E151" s="36">
        <v>54</v>
      </c>
      <c r="F151" s="33">
        <v>0</v>
      </c>
      <c r="G151" s="39">
        <f>SUM(C151:F151)</f>
        <v>367</v>
      </c>
      <c r="H151" s="26"/>
    </row>
    <row r="152" spans="1:8" x14ac:dyDescent="0.25">
      <c r="B152" s="36" t="s">
        <v>85</v>
      </c>
      <c r="C152" s="36">
        <v>0</v>
      </c>
      <c r="D152" s="66">
        <v>12.265000000000001</v>
      </c>
      <c r="E152" s="138">
        <f>1163000/1000000</f>
        <v>1.163</v>
      </c>
      <c r="F152" s="33">
        <v>0</v>
      </c>
      <c r="G152" s="13">
        <f>SUM(C152:F152)</f>
        <v>13.428000000000001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154</v>
      </c>
      <c r="E155" s="53">
        <v>0</v>
      </c>
      <c r="F155" s="53">
        <v>76</v>
      </c>
      <c r="G155" s="39">
        <f>SUM(C155:F155)</f>
        <v>230</v>
      </c>
      <c r="H155" s="26"/>
    </row>
    <row r="156" spans="1:8" x14ac:dyDescent="0.25">
      <c r="B156" s="36" t="s">
        <v>88</v>
      </c>
      <c r="C156" s="13">
        <v>0</v>
      </c>
      <c r="D156" s="41">
        <v>1.98</v>
      </c>
      <c r="E156" s="49">
        <v>0</v>
      </c>
      <c r="F156" s="133">
        <v>3.0680000000000001</v>
      </c>
      <c r="G156" s="13">
        <f>SUM(C156:F156)</f>
        <v>5.048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2">
        <f>+C155+C151+C147</f>
        <v>54</v>
      </c>
      <c r="D159" s="22">
        <f>D147+D151+D155</f>
        <v>1008</v>
      </c>
      <c r="E159" s="22">
        <f>+E155+E151+E147</f>
        <v>54</v>
      </c>
      <c r="F159" s="22">
        <f>+F147+F155</f>
        <v>965</v>
      </c>
      <c r="G159" s="22">
        <f>SUM(C159:F159)</f>
        <v>2081</v>
      </c>
    </row>
    <row r="160" spans="1:8" x14ac:dyDescent="0.25">
      <c r="B160" s="21" t="s">
        <v>91</v>
      </c>
      <c r="C160" s="22">
        <f>+C156+C152+C148</f>
        <v>1.163</v>
      </c>
      <c r="D160" s="22">
        <f>D148+D152+D156</f>
        <v>24.849500000000003</v>
      </c>
      <c r="E160" s="22">
        <f>+E156+E152+E148</f>
        <v>1.163</v>
      </c>
      <c r="F160" s="22">
        <f>+F148+F156</f>
        <v>15.519</v>
      </c>
      <c r="G160" s="25">
        <f>SUM(C160:F160)</f>
        <v>42.694500000000005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41">
        <v>3652</v>
      </c>
      <c r="D163" s="41">
        <v>51347</v>
      </c>
      <c r="E163" s="41">
        <v>3931</v>
      </c>
      <c r="F163" s="41">
        <v>20426</v>
      </c>
      <c r="G163" s="39">
        <f>SUM(C163:F163)</f>
        <v>79356</v>
      </c>
    </row>
    <row r="164" spans="1:8" x14ac:dyDescent="0.25">
      <c r="B164" s="17" t="s">
        <v>88</v>
      </c>
      <c r="C164" s="41">
        <f>82344225/1000000</f>
        <v>82.344224999999994</v>
      </c>
      <c r="D164" s="41">
        <v>133.347601</v>
      </c>
      <c r="E164" s="41">
        <f>52371319/1000000</f>
        <v>52.371319</v>
      </c>
      <c r="F164" s="41">
        <v>126.427778</v>
      </c>
      <c r="G164" s="13">
        <f>SUM(C164:F164)</f>
        <v>394.49092299999995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66"/>
      <c r="G167" s="151"/>
    </row>
    <row r="168" spans="1:8" x14ac:dyDescent="0.25">
      <c r="B168" s="36" t="s">
        <v>95</v>
      </c>
      <c r="C168" s="41">
        <v>180</v>
      </c>
      <c r="D168" s="41">
        <v>4464</v>
      </c>
      <c r="E168" s="41">
        <v>51</v>
      </c>
      <c r="F168" s="41">
        <v>448</v>
      </c>
      <c r="G168" s="79">
        <f>SUM(C168:F168)</f>
        <v>5143</v>
      </c>
    </row>
    <row r="169" spans="1:8" x14ac:dyDescent="0.25">
      <c r="B169" s="36" t="s">
        <v>96</v>
      </c>
      <c r="C169" s="41">
        <f>4500000/1000000</f>
        <v>4.5</v>
      </c>
      <c r="D169" s="41">
        <v>75.004999999999995</v>
      </c>
      <c r="E169" s="41">
        <f>1020000/1000000</f>
        <v>1.02</v>
      </c>
      <c r="F169" s="41">
        <v>16.436</v>
      </c>
      <c r="G169" s="80">
        <f>SUM(C169:F169)</f>
        <v>96.960999999999984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66"/>
      <c r="G171" s="151"/>
    </row>
    <row r="172" spans="1:8" x14ac:dyDescent="0.25">
      <c r="B172" s="36" t="s">
        <v>98</v>
      </c>
      <c r="C172" s="41">
        <v>1226</v>
      </c>
      <c r="D172" s="41">
        <v>522</v>
      </c>
      <c r="E172" s="41">
        <v>152</v>
      </c>
      <c r="F172" s="41">
        <v>433</v>
      </c>
      <c r="G172" s="79">
        <f>SUM(C172:F172)</f>
        <v>2333</v>
      </c>
    </row>
    <row r="173" spans="1:8" x14ac:dyDescent="0.25">
      <c r="B173" s="36" t="s">
        <v>96</v>
      </c>
      <c r="C173" s="41">
        <f>26972000/1000000</f>
        <v>26.972000000000001</v>
      </c>
      <c r="D173" s="41">
        <v>11.579000000000001</v>
      </c>
      <c r="E173" s="41">
        <f>3800000/1000000</f>
        <v>3.8</v>
      </c>
      <c r="F173" s="41">
        <v>9.5150000000000006</v>
      </c>
      <c r="G173" s="80">
        <f>SUM(C173:F173)</f>
        <v>51.866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74" t="s">
        <v>99</v>
      </c>
      <c r="C175" s="175"/>
      <c r="D175" s="175"/>
      <c r="E175" s="175"/>
      <c r="F175" s="178"/>
      <c r="G175" s="176"/>
    </row>
    <row r="176" spans="1:8" x14ac:dyDescent="0.25">
      <c r="B176" s="6" t="s">
        <v>98</v>
      </c>
      <c r="C176" s="41">
        <v>252</v>
      </c>
      <c r="D176" s="41">
        <v>346</v>
      </c>
      <c r="E176" s="41">
        <v>175</v>
      </c>
      <c r="F176" s="41">
        <v>44</v>
      </c>
      <c r="G176" s="104">
        <f>SUM(C176:F176)</f>
        <v>817</v>
      </c>
    </row>
    <row r="177" spans="1:8" x14ac:dyDescent="0.25">
      <c r="B177" s="36" t="s">
        <v>96</v>
      </c>
      <c r="C177" s="41">
        <f>17640000/1000000</f>
        <v>17.64</v>
      </c>
      <c r="D177" s="41">
        <v>27.34</v>
      </c>
      <c r="E177" s="41">
        <f>9925615/1000000</f>
        <v>9.9256150000000005</v>
      </c>
      <c r="F177" s="41">
        <v>4.38</v>
      </c>
      <c r="G177" s="90">
        <f>SUM(C177:F177)</f>
        <v>59.285615000000007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41">
        <v>325</v>
      </c>
      <c r="D180" s="41">
        <v>4371</v>
      </c>
      <c r="E180" s="41">
        <f>+E176+E172+E168+E164</f>
        <v>430.37131899999997</v>
      </c>
      <c r="F180" s="41">
        <f>+F176+F172+F168+F164</f>
        <v>1051.427778</v>
      </c>
      <c r="G180" s="39">
        <f>SUM(C180:F180)</f>
        <v>6177.7990970000001</v>
      </c>
    </row>
    <row r="181" spans="1:8" x14ac:dyDescent="0.25">
      <c r="B181" s="36" t="s">
        <v>96</v>
      </c>
      <c r="C181" s="41">
        <f>10015000/1000000</f>
        <v>10.015000000000001</v>
      </c>
      <c r="D181" s="41">
        <v>104.680295</v>
      </c>
      <c r="E181" s="41">
        <f>+E177+E173+E169+E165</f>
        <v>14.745615000000001</v>
      </c>
      <c r="F181" s="41">
        <f>+F177+F173+F169+F165</f>
        <v>30.331</v>
      </c>
      <c r="G181" s="13">
        <f>SUM(C181:F181)</f>
        <v>159.77190999999999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22">
        <f>+C180+C176+C172+C168</f>
        <v>1983</v>
      </c>
      <c r="D184" s="22">
        <f>D168+D172+D176+D180</f>
        <v>9703</v>
      </c>
      <c r="E184" s="22">
        <f t="shared" ref="E184:E185" si="4">+E180+E176+E172+E168</f>
        <v>808.37131899999997</v>
      </c>
      <c r="F184" s="22">
        <f>F163+F168+F172+F176+F159</f>
        <v>22316</v>
      </c>
      <c r="G184" s="22">
        <f>SUM(C184:F184)</f>
        <v>34810.371318999998</v>
      </c>
    </row>
    <row r="185" spans="1:8" x14ac:dyDescent="0.25">
      <c r="B185" s="21" t="s">
        <v>103</v>
      </c>
      <c r="C185" s="22">
        <f>+C181+C177+C173+C169</f>
        <v>59.127000000000002</v>
      </c>
      <c r="D185" s="22">
        <f>D169+D173+D177+D181</f>
        <v>218.60429500000001</v>
      </c>
      <c r="E185" s="22">
        <f t="shared" si="4"/>
        <v>29.491230000000002</v>
      </c>
      <c r="F185" s="22">
        <f>F164+F169+F173+F177+F160</f>
        <v>172.27777800000001</v>
      </c>
      <c r="G185" s="25">
        <f>SUM(C185:F185)</f>
        <v>479.50030300000003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41">
        <v>486</v>
      </c>
      <c r="D188" s="41">
        <v>397</v>
      </c>
      <c r="E188" s="41">
        <v>67</v>
      </c>
      <c r="F188" s="41">
        <f>F167+F172+F176+F180+F163</f>
        <v>21954.427778000001</v>
      </c>
      <c r="G188" s="39">
        <f>SUM(C188:F188)</f>
        <v>22904.427778000001</v>
      </c>
    </row>
    <row r="189" spans="1:8" x14ac:dyDescent="0.25">
      <c r="B189" s="17" t="s">
        <v>106</v>
      </c>
      <c r="C189" s="41">
        <f>5376570/1000000</f>
        <v>5.3765700000000001</v>
      </c>
      <c r="D189" s="41">
        <v>25.546448999999999</v>
      </c>
      <c r="E189" s="41">
        <f>2720000/1000000</f>
        <v>2.72</v>
      </c>
      <c r="F189" s="41">
        <f>F168+F173+F177+F181+F164</f>
        <v>618.65377799999999</v>
      </c>
      <c r="G189" s="13">
        <f>SUM(C189:F189)</f>
        <v>652.29679699999997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6175</v>
      </c>
      <c r="D192" s="22">
        <f>+D188+D184+D163+D159</f>
        <v>62455</v>
      </c>
      <c r="E192" s="22">
        <f t="shared" ref="E192:E193" si="5">+E188+E184+E163+E159</f>
        <v>4860.3713189999999</v>
      </c>
      <c r="F192" s="22">
        <f>F159+F163+F184+F188</f>
        <v>65661.427777999997</v>
      </c>
      <c r="G192" s="22">
        <f>SUM(C192:F192)</f>
        <v>139151.79909699998</v>
      </c>
    </row>
    <row r="193" spans="2:7" x14ac:dyDescent="0.25">
      <c r="B193" s="21" t="s">
        <v>109</v>
      </c>
      <c r="C193" s="22">
        <f>148010795/1000000</f>
        <v>148.010795</v>
      </c>
      <c r="D193" s="22">
        <f>+D189+D185+D164+D160</f>
        <v>402.34784499999995</v>
      </c>
      <c r="E193" s="22">
        <f t="shared" si="5"/>
        <v>85.745548999999997</v>
      </c>
      <c r="F193" s="22">
        <f>F160+F185+F164+F189</f>
        <v>932.878334</v>
      </c>
      <c r="G193" s="25">
        <f>SUM(C193:F193)</f>
        <v>1568.9825229999999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7:G37"/>
    <mergeCell ref="B38:G38"/>
    <mergeCell ref="B41:H41"/>
    <mergeCell ref="B42:G42"/>
    <mergeCell ref="B46:G46"/>
    <mergeCell ref="B49:H49"/>
    <mergeCell ref="B50:G50"/>
    <mergeCell ref="B51:H51"/>
    <mergeCell ref="B52:G52"/>
    <mergeCell ref="B105:G105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104:G104"/>
    <mergeCell ref="B134:H134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32:G132"/>
    <mergeCell ref="B153:H153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50:G150"/>
    <mergeCell ref="B175:G175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74:H174"/>
    <mergeCell ref="B190:H190"/>
    <mergeCell ref="B191:G191"/>
    <mergeCell ref="B178:H178"/>
    <mergeCell ref="B179:G179"/>
    <mergeCell ref="B182:H182"/>
    <mergeCell ref="B183:G183"/>
    <mergeCell ref="B186:H186"/>
    <mergeCell ref="B187:G18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3D948-6066-418D-A90F-8B881EC7DF52}">
  <dimension ref="A1:BD197"/>
  <sheetViews>
    <sheetView tabSelected="1" topLeftCell="B25" zoomScaleNormal="100" workbookViewId="0">
      <selection activeCell="B167" sqref="B167:G167"/>
    </sheetView>
  </sheetViews>
  <sheetFormatPr baseColWidth="10" defaultColWidth="9.140625" defaultRowHeight="15" x14ac:dyDescent="0.25"/>
  <cols>
    <col min="1" max="1" width="4.1406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111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20">
        <v>55537</v>
      </c>
      <c r="D6" s="20">
        <v>8216</v>
      </c>
      <c r="E6" s="20">
        <v>9354</v>
      </c>
      <c r="F6" s="15">
        <v>10611</v>
      </c>
      <c r="G6" s="15">
        <f>+F6+E6+D6+C6</f>
        <v>83718</v>
      </c>
    </row>
    <row r="7" spans="1:7" x14ac:dyDescent="0.25">
      <c r="B7" s="36" t="s">
        <v>10</v>
      </c>
      <c r="C7" s="20">
        <v>527</v>
      </c>
      <c r="D7" s="20">
        <v>231</v>
      </c>
      <c r="E7" s="20">
        <v>11</v>
      </c>
      <c r="F7" s="15">
        <v>128</v>
      </c>
      <c r="G7" s="15">
        <f>+F7+E7+D7+C7</f>
        <v>897</v>
      </c>
    </row>
    <row r="8" spans="1:7" x14ac:dyDescent="0.25">
      <c r="B8" s="21" t="s">
        <v>11</v>
      </c>
      <c r="C8" s="126">
        <f>SUM(C6:C7)</f>
        <v>56064</v>
      </c>
      <c r="D8" s="126">
        <f>+D6+D7</f>
        <v>8447</v>
      </c>
      <c r="E8" s="126">
        <f>SUM(E6:E7)</f>
        <v>9365</v>
      </c>
      <c r="F8" s="126">
        <f>SUM(F6:F7)</f>
        <v>10739</v>
      </c>
      <c r="G8" s="30">
        <f>+F8+E8+D8+C8</f>
        <v>84615</v>
      </c>
    </row>
    <row r="9" spans="1:7" x14ac:dyDescent="0.25">
      <c r="B9" s="179"/>
      <c r="C9" s="179"/>
      <c r="D9" s="179"/>
      <c r="E9" s="179"/>
      <c r="F9" s="179"/>
      <c r="G9" s="17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928081</v>
      </c>
      <c r="D12" s="41">
        <v>147567</v>
      </c>
      <c r="E12" s="81">
        <v>54578</v>
      </c>
      <c r="F12" s="20">
        <v>0</v>
      </c>
      <c r="G12" s="20">
        <f>SUM(C12:F12)</f>
        <v>1130226</v>
      </c>
    </row>
    <row r="13" spans="1:7" x14ac:dyDescent="0.25">
      <c r="B13" s="19" t="s">
        <v>15</v>
      </c>
      <c r="C13" s="15">
        <v>2066881</v>
      </c>
      <c r="D13" s="41">
        <v>514451</v>
      </c>
      <c r="E13" s="81">
        <v>203069</v>
      </c>
      <c r="F13" s="20">
        <v>0</v>
      </c>
      <c r="G13" s="20">
        <f>SUM(C13:F13)</f>
        <v>2784401</v>
      </c>
    </row>
    <row r="14" spans="1:7" x14ac:dyDescent="0.25">
      <c r="B14" s="21" t="s">
        <v>16</v>
      </c>
      <c r="C14" s="69">
        <f>C13+C12</f>
        <v>2994962</v>
      </c>
      <c r="D14" s="69">
        <v>893711</v>
      </c>
      <c r="E14" s="69">
        <f>SUM(E12:E13)</f>
        <v>257647</v>
      </c>
      <c r="F14" s="69">
        <v>346883</v>
      </c>
      <c r="G14" s="22">
        <f>SUM(C14:F14)</f>
        <v>4493203</v>
      </c>
    </row>
    <row r="15" spans="1:7" x14ac:dyDescent="0.25">
      <c r="B15" s="21" t="s">
        <v>17</v>
      </c>
      <c r="C15" s="100">
        <v>394497</v>
      </c>
      <c r="D15" s="69">
        <v>139791</v>
      </c>
      <c r="E15" s="69">
        <v>2780</v>
      </c>
      <c r="F15" s="69">
        <v>66581</v>
      </c>
      <c r="G15" s="22">
        <f>SUM(C15:F15)</f>
        <v>603649</v>
      </c>
    </row>
    <row r="16" spans="1:7" x14ac:dyDescent="0.25">
      <c r="B16" s="21" t="s">
        <v>18</v>
      </c>
      <c r="C16" s="69">
        <f>C15+C14</f>
        <v>3389459</v>
      </c>
      <c r="D16" s="69">
        <f>+D14+D15</f>
        <v>1033502</v>
      </c>
      <c r="E16" s="69">
        <f>SUM(E14:E15)</f>
        <v>260427</v>
      </c>
      <c r="F16" s="69">
        <f>SUM(F12:F15)</f>
        <v>413464</v>
      </c>
      <c r="G16" s="22">
        <f>SUM(C16:F16)</f>
        <v>5096852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41">
        <v>3700</v>
      </c>
      <c r="D19" s="41">
        <v>2571</v>
      </c>
      <c r="E19" s="28">
        <v>0</v>
      </c>
      <c r="F19" s="28">
        <v>0</v>
      </c>
      <c r="G19" s="76">
        <f>SUM(C19:F19)</f>
        <v>6271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69">
        <f>+C19+C16</f>
        <v>3393159</v>
      </c>
      <c r="D21" s="69">
        <v>1036073</v>
      </c>
      <c r="E21" s="69">
        <f>+E19+E16</f>
        <v>260427</v>
      </c>
      <c r="F21" s="22">
        <f>F16</f>
        <v>413464</v>
      </c>
      <c r="G21" s="22">
        <f>SUM(C21:F21)</f>
        <v>5103123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22">
        <v>410595</v>
      </c>
      <c r="D24" s="22">
        <v>223858</v>
      </c>
      <c r="E24" s="22">
        <v>136182</v>
      </c>
      <c r="F24" s="22">
        <v>665669</v>
      </c>
      <c r="G24" s="69">
        <f>SUM(C24:F24)</f>
        <v>1436304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22">
        <f>+C24+C21</f>
        <v>3803754</v>
      </c>
      <c r="D27" s="22">
        <f>+D24+D21</f>
        <v>1259931</v>
      </c>
      <c r="E27" s="22">
        <f>+E21+E24</f>
        <v>396609</v>
      </c>
      <c r="F27" s="22">
        <f>+F24+F21</f>
        <v>1079133</v>
      </c>
      <c r="G27" s="22">
        <f>SUM(C27:F27)</f>
        <v>6539427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71" t="s">
        <v>26</v>
      </c>
      <c r="C29" s="172"/>
      <c r="D29" s="172"/>
      <c r="E29" s="172"/>
      <c r="F29" s="172"/>
      <c r="G29" s="173"/>
    </row>
    <row r="30" spans="2:8" x14ac:dyDescent="0.25">
      <c r="B30" s="6" t="s">
        <v>27</v>
      </c>
      <c r="C30" s="41">
        <v>1307050</v>
      </c>
      <c r="D30" s="41">
        <v>241275</v>
      </c>
      <c r="E30" s="41">
        <v>98585</v>
      </c>
      <c r="F30" s="41">
        <v>223298</v>
      </c>
      <c r="G30" s="88">
        <f>SUM(C30:F30)</f>
        <v>1870208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2717285792528</v>
      </c>
      <c r="D33" s="41">
        <v>495689359306</v>
      </c>
      <c r="E33" s="41">
        <v>200045909776</v>
      </c>
      <c r="F33" s="41">
        <v>297018589955</v>
      </c>
      <c r="G33" s="41"/>
    </row>
    <row r="34" spans="1:9" x14ac:dyDescent="0.25">
      <c r="B34" s="36" t="s">
        <v>30</v>
      </c>
      <c r="C34" s="41">
        <v>123207044018</v>
      </c>
      <c r="D34" s="41">
        <v>55689495473</v>
      </c>
      <c r="E34" s="41">
        <v>29707855400</v>
      </c>
      <c r="F34" s="41">
        <v>120483171633</v>
      </c>
      <c r="G34" s="41"/>
    </row>
    <row r="35" spans="1:9" x14ac:dyDescent="0.25">
      <c r="B35" s="21" t="s">
        <v>31</v>
      </c>
      <c r="C35" s="22">
        <f>SUM(C33:C34)</f>
        <v>2840492836546</v>
      </c>
      <c r="D35" s="22">
        <f>+D34+D33</f>
        <v>551378854779</v>
      </c>
      <c r="E35" s="22">
        <f>+E33+E34</f>
        <v>229753765176</v>
      </c>
      <c r="F35" s="22">
        <f>SUM(F33:F34)</f>
        <v>417501761588</v>
      </c>
      <c r="G35" s="22">
        <f>SUM(C35:F35)</f>
        <v>4039127218089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508928</v>
      </c>
      <c r="D39" s="41">
        <v>105430</v>
      </c>
      <c r="E39" s="41">
        <v>56506</v>
      </c>
      <c r="F39" s="41">
        <v>68055</v>
      </c>
      <c r="G39" s="39">
        <f>SUM(C39:F39)</f>
        <v>738919</v>
      </c>
      <c r="H39" s="9"/>
      <c r="I39" s="9"/>
    </row>
    <row r="40" spans="1:9" x14ac:dyDescent="0.25">
      <c r="B40" s="36" t="s">
        <v>35</v>
      </c>
      <c r="C40" s="41">
        <f>2507675349/1000000</f>
        <v>2507.6753490000001</v>
      </c>
      <c r="D40" s="41">
        <v>823.19760699999995</v>
      </c>
      <c r="E40" s="41">
        <v>334</v>
      </c>
      <c r="F40" s="15">
        <v>369.78872899999999</v>
      </c>
      <c r="G40" s="13">
        <f>SUM(C40:F40)</f>
        <v>4034.661685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136" t="s">
        <v>37</v>
      </c>
      <c r="C43" s="41">
        <v>88</v>
      </c>
      <c r="D43" s="41">
        <v>25</v>
      </c>
      <c r="E43" s="41">
        <v>6</v>
      </c>
      <c r="F43" s="41">
        <v>5</v>
      </c>
      <c r="G43" s="41">
        <f>SUM(C43:F43)</f>
        <v>124</v>
      </c>
      <c r="H43" s="134"/>
      <c r="I43" s="9"/>
    </row>
    <row r="44" spans="1:9" x14ac:dyDescent="0.25">
      <c r="B44" s="136" t="s">
        <v>38</v>
      </c>
      <c r="C44" s="41">
        <f>4839726/1000000</f>
        <v>4.8397259999999998</v>
      </c>
      <c r="D44" s="41">
        <v>0.357655</v>
      </c>
      <c r="E44" s="41">
        <v>0.1</v>
      </c>
      <c r="F44" s="41">
        <v>0</v>
      </c>
      <c r="G44" s="41">
        <f>SUM(C44:F44)</f>
        <v>5.2973809999999997</v>
      </c>
      <c r="H44" s="134"/>
      <c r="I44" s="9"/>
    </row>
    <row r="45" spans="1:9" x14ac:dyDescent="0.25">
      <c r="A45" s="4"/>
      <c r="B45" s="137"/>
      <c r="C45" s="134"/>
      <c r="D45" s="134"/>
      <c r="E45" s="134"/>
      <c r="F45" s="134"/>
      <c r="G45" s="134"/>
      <c r="H45" s="134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92150</v>
      </c>
      <c r="D47" s="41">
        <v>67614</v>
      </c>
      <c r="E47" s="41">
        <v>10220</v>
      </c>
      <c r="F47" s="41">
        <v>48975</v>
      </c>
      <c r="G47" s="41">
        <f>SUM(C47:F47)</f>
        <v>218959</v>
      </c>
      <c r="H47" s="9"/>
      <c r="I47" s="9"/>
    </row>
    <row r="48" spans="1:9" x14ac:dyDescent="0.25">
      <c r="B48" s="36" t="s">
        <v>41</v>
      </c>
      <c r="C48" s="41">
        <f>(48484105738+814884187)/1000000</f>
        <v>49298.989925000002</v>
      </c>
      <c r="D48" s="41">
        <v>21935.733715999999</v>
      </c>
      <c r="E48" s="41">
        <v>6961.2447460000003</v>
      </c>
      <c r="F48" s="15">
        <v>6514.2183279999999</v>
      </c>
      <c r="G48" s="13">
        <f>SUM(C48:F48)</f>
        <v>84710.186715000003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2">
        <v>69514</v>
      </c>
      <c r="D54" s="42">
        <v>3396</v>
      </c>
      <c r="E54" s="42">
        <v>1004</v>
      </c>
      <c r="F54" s="41">
        <v>2026</v>
      </c>
      <c r="G54" s="41">
        <f t="shared" ref="G54:G70" si="0">SUM(C54:F54)</f>
        <v>75940</v>
      </c>
    </row>
    <row r="55" spans="1:8" x14ac:dyDescent="0.25">
      <c r="B55" s="36" t="s">
        <v>46</v>
      </c>
      <c r="C55" s="42">
        <v>45593.647862999998</v>
      </c>
      <c r="D55" s="42">
        <v>7136.7359999999999</v>
      </c>
      <c r="E55" s="42">
        <v>2418.0166629999999</v>
      </c>
      <c r="F55" s="41">
        <v>5418</v>
      </c>
      <c r="G55" s="41">
        <f t="shared" si="0"/>
        <v>60566.400525999998</v>
      </c>
    </row>
    <row r="56" spans="1:8" x14ac:dyDescent="0.25">
      <c r="B56" s="36" t="s">
        <v>47</v>
      </c>
      <c r="C56" s="42">
        <v>12.0003740253762</v>
      </c>
      <c r="D56" s="42">
        <v>40.742267777631923</v>
      </c>
      <c r="E56" s="59">
        <v>31</v>
      </c>
      <c r="F56" s="41">
        <v>31</v>
      </c>
      <c r="G56" s="41">
        <f>AVERAGE(C56:F56)</f>
        <v>28.685660450752032</v>
      </c>
    </row>
    <row r="57" spans="1:8" x14ac:dyDescent="0.25">
      <c r="B57" s="36" t="s">
        <v>48</v>
      </c>
      <c r="C57" s="42">
        <v>876583</v>
      </c>
      <c r="D57" s="42">
        <v>167525</v>
      </c>
      <c r="E57" s="42">
        <v>53325</v>
      </c>
      <c r="F57" s="41">
        <v>79896</v>
      </c>
      <c r="G57" s="41">
        <f t="shared" si="0"/>
        <v>1177329</v>
      </c>
    </row>
    <row r="58" spans="1:8" x14ac:dyDescent="0.25">
      <c r="B58" s="36" t="s">
        <v>49</v>
      </c>
      <c r="C58" s="42">
        <v>1382353.9338440001</v>
      </c>
      <c r="D58" s="42">
        <v>295924.05665400001</v>
      </c>
      <c r="E58" s="60">
        <v>88397.598360000004</v>
      </c>
      <c r="F58" s="41">
        <v>140609</v>
      </c>
      <c r="G58" s="13">
        <f t="shared" si="0"/>
        <v>1907284.588858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2">
        <v>4135</v>
      </c>
      <c r="D66" s="42">
        <v>2551</v>
      </c>
      <c r="E66" s="42">
        <v>2451</v>
      </c>
      <c r="F66" s="42">
        <v>9452</v>
      </c>
      <c r="G66" s="39">
        <f t="shared" si="0"/>
        <v>18589</v>
      </c>
    </row>
    <row r="67" spans="1:8" x14ac:dyDescent="0.25">
      <c r="B67" s="36" t="s">
        <v>46</v>
      </c>
      <c r="C67" s="42">
        <v>2702.4757650000001</v>
      </c>
      <c r="D67" s="42">
        <v>3772.8150000000001</v>
      </c>
      <c r="E67" s="42">
        <v>3052.2601519999998</v>
      </c>
      <c r="F67" s="42">
        <v>10845</v>
      </c>
      <c r="G67" s="39">
        <f t="shared" si="0"/>
        <v>20372.550917</v>
      </c>
    </row>
    <row r="68" spans="1:8" x14ac:dyDescent="0.25">
      <c r="B68" s="36" t="s">
        <v>47</v>
      </c>
      <c r="C68" s="42">
        <v>36.565417170495799</v>
      </c>
      <c r="D68" s="42">
        <v>55.79745530779774</v>
      </c>
      <c r="E68" s="42">
        <v>54</v>
      </c>
      <c r="F68" s="41">
        <v>44</v>
      </c>
      <c r="G68" s="39">
        <f>AVERAGE(C68:F68)</f>
        <v>47.590718119573381</v>
      </c>
    </row>
    <row r="69" spans="1:8" x14ac:dyDescent="0.25">
      <c r="B69" s="36" t="s">
        <v>48</v>
      </c>
      <c r="C69" s="42">
        <v>123279</v>
      </c>
      <c r="D69" s="42">
        <v>93804</v>
      </c>
      <c r="E69" s="42">
        <v>58924</v>
      </c>
      <c r="F69" s="15">
        <v>262537</v>
      </c>
      <c r="G69" s="39">
        <f t="shared" si="0"/>
        <v>538544</v>
      </c>
    </row>
    <row r="70" spans="1:8" x14ac:dyDescent="0.25">
      <c r="B70" s="36" t="s">
        <v>49</v>
      </c>
      <c r="C70" s="42">
        <v>90828.811602000002</v>
      </c>
      <c r="D70" s="42">
        <v>79791.524004999999</v>
      </c>
      <c r="E70" s="42">
        <v>47743.503627999999</v>
      </c>
      <c r="F70" s="9">
        <v>174783</v>
      </c>
      <c r="G70" s="40">
        <f t="shared" si="0"/>
        <v>393146.83923499996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73649</v>
      </c>
      <c r="D72" s="22">
        <f>+D66+D60+D54</f>
        <v>5947</v>
      </c>
      <c r="E72" s="22">
        <f t="shared" ref="E72:E73" si="1">+E66+E60+E54</f>
        <v>3455</v>
      </c>
      <c r="F72" s="22">
        <f>+F54+F66</f>
        <v>11478</v>
      </c>
      <c r="G72" s="22">
        <f>SUM(C72:F72)</f>
        <v>94529</v>
      </c>
    </row>
    <row r="73" spans="1:8" x14ac:dyDescent="0.25">
      <c r="B73" s="21" t="s">
        <v>46</v>
      </c>
      <c r="C73" s="22">
        <v>48296.123628000001</v>
      </c>
      <c r="D73" s="22">
        <f t="shared" ref="D73:D75" si="2">+D67+D61+D55</f>
        <v>10909.550999999999</v>
      </c>
      <c r="E73" s="22">
        <f t="shared" si="1"/>
        <v>5470.2768149999993</v>
      </c>
      <c r="F73" s="22">
        <f>+F55+F67</f>
        <v>16263</v>
      </c>
      <c r="G73" s="25">
        <f>SUM(C73:F73)</f>
        <v>80938.951442999998</v>
      </c>
    </row>
    <row r="74" spans="1:8" x14ac:dyDescent="0.25">
      <c r="B74" s="21" t="s">
        <v>47</v>
      </c>
      <c r="C74" s="22">
        <v>13.3795706662684</v>
      </c>
      <c r="D74" s="22">
        <f>(+D56+D62+D68)/3</f>
        <v>32.179907695143221</v>
      </c>
      <c r="E74" s="22">
        <v>46</v>
      </c>
      <c r="F74" s="22">
        <f>(F56+F68)/2</f>
        <v>37.5</v>
      </c>
      <c r="G74" s="22">
        <f>AVERAGE(C74:F74)</f>
        <v>32.264869590352902</v>
      </c>
    </row>
    <row r="75" spans="1:8" x14ac:dyDescent="0.25">
      <c r="B75" s="21" t="s">
        <v>48</v>
      </c>
      <c r="C75" s="22">
        <f>+C57+C69</f>
        <v>999862</v>
      </c>
      <c r="D75" s="22">
        <f t="shared" si="2"/>
        <v>261329</v>
      </c>
      <c r="E75" s="22">
        <f t="shared" ref="E75:E76" si="3">+E69+E63+E57</f>
        <v>112249</v>
      </c>
      <c r="F75" s="22">
        <f>+F57+F69</f>
        <v>342433</v>
      </c>
      <c r="G75" s="22">
        <f>SUM(C75:F75)</f>
        <v>1715873</v>
      </c>
    </row>
    <row r="76" spans="1:8" x14ac:dyDescent="0.25">
      <c r="B76" s="21" t="s">
        <v>49</v>
      </c>
      <c r="C76" s="22">
        <f>+C58+C70</f>
        <v>1473182.745446</v>
      </c>
      <c r="D76" s="22">
        <f>+D70+D64+D58</f>
        <v>375715.58065900003</v>
      </c>
      <c r="E76" s="22">
        <f t="shared" si="3"/>
        <v>136141.10198800001</v>
      </c>
      <c r="F76" s="22">
        <f>+F58+F70</f>
        <v>315392</v>
      </c>
      <c r="G76" s="25">
        <f>SUM(C76:F76)</f>
        <v>2300431.4280930003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A80" s="1">
        <v>0</v>
      </c>
      <c r="B80" s="36" t="s">
        <v>45</v>
      </c>
      <c r="C80" s="41">
        <v>0</v>
      </c>
      <c r="D80" s="36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41">
        <v>0</v>
      </c>
      <c r="D81" s="36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41">
        <v>0</v>
      </c>
      <c r="D82" s="36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29">
        <v>1105</v>
      </c>
      <c r="D83" s="36">
        <v>137</v>
      </c>
      <c r="E83" s="51">
        <v>7</v>
      </c>
      <c r="F83" s="29">
        <v>117</v>
      </c>
      <c r="G83" s="29">
        <f>SUM(C83:F83)</f>
        <v>1366</v>
      </c>
    </row>
    <row r="84" spans="2:7" x14ac:dyDescent="0.25">
      <c r="B84" s="36" t="s">
        <v>49</v>
      </c>
      <c r="C84" s="29">
        <v>21682.858256</v>
      </c>
      <c r="D84" s="29">
        <v>1564</v>
      </c>
      <c r="E84" s="29">
        <v>86</v>
      </c>
      <c r="F84" s="29">
        <v>1981.079798</v>
      </c>
      <c r="G84" s="13">
        <f>SUM(C84:F84)</f>
        <v>25313.938053999998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29">
        <v>13</v>
      </c>
      <c r="D95" s="64">
        <v>0</v>
      </c>
      <c r="E95" s="23">
        <v>0</v>
      </c>
      <c r="F95" s="29">
        <v>7</v>
      </c>
      <c r="G95" s="39">
        <f>SUM(C95:F95)</f>
        <v>20</v>
      </c>
    </row>
    <row r="96" spans="2:7" x14ac:dyDescent="0.25">
      <c r="B96" s="36" t="s">
        <v>49</v>
      </c>
      <c r="C96" s="29">
        <v>188.79121699999999</v>
      </c>
      <c r="D96" s="64">
        <v>0</v>
      </c>
      <c r="E96" s="23">
        <v>0</v>
      </c>
      <c r="F96" s="29">
        <v>91.742092999999997</v>
      </c>
      <c r="G96" s="13">
        <f>SUM(C96:F96)</f>
        <v>280.53330999999997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2">
        <v>0</v>
      </c>
      <c r="D98" s="22">
        <f>+D92+D86+D80</f>
        <v>0</v>
      </c>
      <c r="E98" s="22">
        <v>0</v>
      </c>
      <c r="F98" s="22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22">
        <f t="shared" ref="D99:D102" si="4">+D93+D87+D81</f>
        <v>0</v>
      </c>
      <c r="E99" s="22">
        <v>0</v>
      </c>
      <c r="F99" s="22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22">
        <f t="shared" si="4"/>
        <v>0</v>
      </c>
      <c r="E100" s="22">
        <v>0</v>
      </c>
      <c r="F100" s="22">
        <v>0</v>
      </c>
      <c r="G100" s="22">
        <f>AVERAGE(C100:F100)</f>
        <v>0</v>
      </c>
    </row>
    <row r="101" spans="1:8" x14ac:dyDescent="0.25">
      <c r="B101" s="21" t="s">
        <v>48</v>
      </c>
      <c r="C101" s="22">
        <v>1118</v>
      </c>
      <c r="D101" s="22">
        <f t="shared" si="4"/>
        <v>137</v>
      </c>
      <c r="E101" s="22">
        <v>7</v>
      </c>
      <c r="F101" s="22">
        <v>0</v>
      </c>
      <c r="G101" s="22">
        <f>SUM(C101:F101)</f>
        <v>1262</v>
      </c>
    </row>
    <row r="102" spans="1:8" x14ac:dyDescent="0.25">
      <c r="B102" s="21" t="s">
        <v>49</v>
      </c>
      <c r="C102" s="22">
        <v>21871.649473000001</v>
      </c>
      <c r="D102" s="22">
        <f t="shared" si="4"/>
        <v>1564</v>
      </c>
      <c r="E102" s="22">
        <v>86</v>
      </c>
      <c r="F102" s="22">
        <v>0</v>
      </c>
      <c r="G102" s="25">
        <f>SUM(C102:F102)</f>
        <v>23521.649473000001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11">
        <v>1.5214105623018903</v>
      </c>
      <c r="D106" s="16">
        <v>2.5677777777777813</v>
      </c>
      <c r="E106" s="45">
        <v>2.4900000000000002</v>
      </c>
      <c r="F106" s="16">
        <v>1.89</v>
      </c>
      <c r="G106" s="74">
        <f>AVERAGE(C106:F106)</f>
        <v>2.117297085019918</v>
      </c>
    </row>
    <row r="107" spans="1:8" x14ac:dyDescent="0.25">
      <c r="B107" s="36" t="s">
        <v>58</v>
      </c>
      <c r="C107" s="111">
        <v>1.7988985736925147</v>
      </c>
      <c r="D107" s="16">
        <v>2.4521052631578963</v>
      </c>
      <c r="E107" s="48">
        <v>2.25</v>
      </c>
      <c r="F107" s="48">
        <v>2.1800000000000002</v>
      </c>
      <c r="G107" s="74">
        <f>AVERAGE(C107:F107)</f>
        <v>2.1702509592126029</v>
      </c>
    </row>
    <row r="108" spans="1:8" x14ac:dyDescent="0.25">
      <c r="B108" s="36" t="s">
        <v>59</v>
      </c>
      <c r="C108" s="111">
        <v>1.475687340504223</v>
      </c>
      <c r="D108" s="16">
        <v>2.2748427672956009</v>
      </c>
      <c r="E108" s="45">
        <v>2.2000000000000002</v>
      </c>
      <c r="F108" s="48">
        <v>2.1800000000000002</v>
      </c>
      <c r="G108" s="74">
        <f>AVERAGE(C108:F108)</f>
        <v>2.0326325269499561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1.128181818181818</v>
      </c>
      <c r="D110" s="16">
        <v>1.6200000000000003</v>
      </c>
      <c r="E110" s="45">
        <v>1.6</v>
      </c>
      <c r="F110" s="45">
        <v>1.56</v>
      </c>
      <c r="G110" s="74">
        <f>AVERAGE(C110:F110)</f>
        <v>1.4770454545454546</v>
      </c>
    </row>
    <row r="111" spans="1:8" x14ac:dyDescent="0.25">
      <c r="B111" s="36" t="s">
        <v>58</v>
      </c>
      <c r="C111" s="16">
        <v>1.4500000000000011</v>
      </c>
      <c r="D111" s="16">
        <v>1.6200000000000006</v>
      </c>
      <c r="E111" s="45">
        <v>1.6</v>
      </c>
      <c r="F111" s="16">
        <v>0.89</v>
      </c>
      <c r="G111" s="74">
        <f>AVERAGE(C111:F111)</f>
        <v>1.3900000000000003</v>
      </c>
    </row>
    <row r="112" spans="1:8" x14ac:dyDescent="0.25">
      <c r="B112" s="36" t="s">
        <v>59</v>
      </c>
      <c r="C112" s="16">
        <v>1.1002230720203818</v>
      </c>
      <c r="D112" s="16">
        <v>1.6200000000000008</v>
      </c>
      <c r="E112" s="45">
        <v>1.6</v>
      </c>
      <c r="F112" s="45">
        <v>1.56</v>
      </c>
      <c r="G112" s="74">
        <f>AVERAGE(C112:F112)</f>
        <v>1.4700557680050959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1.1743145500420649</v>
      </c>
      <c r="D115" s="16">
        <v>1.6599999999999975</v>
      </c>
      <c r="E115" s="48">
        <v>1.65</v>
      </c>
      <c r="F115" s="48">
        <v>1.64</v>
      </c>
      <c r="G115" s="74">
        <f>AVERAGE(C115:F115)</f>
        <v>1.5310786375105156</v>
      </c>
    </row>
    <row r="116" spans="1:9" x14ac:dyDescent="0.25">
      <c r="B116" s="36" t="s">
        <v>58</v>
      </c>
      <c r="C116" s="16">
        <v>1.3891726990693012</v>
      </c>
      <c r="D116" s="16">
        <v>1.6599999999999975</v>
      </c>
      <c r="E116" s="48">
        <v>1.65</v>
      </c>
      <c r="F116" s="48">
        <v>1.64</v>
      </c>
      <c r="G116" s="74">
        <f>AVERAGE(C116:F116)</f>
        <v>1.5847931747673247</v>
      </c>
    </row>
    <row r="117" spans="1:9" x14ac:dyDescent="0.25">
      <c r="B117" s="36" t="s">
        <v>59</v>
      </c>
      <c r="C117" s="16">
        <v>1.3286994367639589</v>
      </c>
      <c r="D117" s="16">
        <v>1.6600000000000228</v>
      </c>
      <c r="E117" s="48">
        <v>1.65</v>
      </c>
      <c r="F117" s="48">
        <v>1.64</v>
      </c>
      <c r="G117" s="74">
        <f>AVERAGE(C117:F117)</f>
        <v>1.5696748591909955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16">
        <v>0</v>
      </c>
      <c r="D119" s="16">
        <v>1.1949999999999998</v>
      </c>
      <c r="E119" s="37">
        <v>0</v>
      </c>
      <c r="F119" s="16">
        <v>0.98999999999999988</v>
      </c>
      <c r="G119" s="74">
        <f>AVERAGE(C119:F119)</f>
        <v>0.5462499999999999</v>
      </c>
      <c r="I119" s="10"/>
    </row>
    <row r="120" spans="1:9" x14ac:dyDescent="0.25">
      <c r="B120" s="36" t="s">
        <v>58</v>
      </c>
      <c r="C120" s="16">
        <v>0.98999999999999988</v>
      </c>
      <c r="D120" s="16">
        <v>1.1949999999999998</v>
      </c>
      <c r="E120" s="45">
        <v>0</v>
      </c>
      <c r="F120" s="16">
        <v>0.88</v>
      </c>
      <c r="G120" s="74">
        <f>AVERAGE(C120:F120)</f>
        <v>0.76624999999999988</v>
      </c>
      <c r="I120" s="10"/>
    </row>
    <row r="121" spans="1:9" x14ac:dyDescent="0.25">
      <c r="B121" s="36" t="s">
        <v>59</v>
      </c>
      <c r="C121" s="16">
        <v>0.98999999999999988</v>
      </c>
      <c r="D121" s="16">
        <v>1.1949999999999998</v>
      </c>
      <c r="E121" s="45">
        <v>1.3</v>
      </c>
      <c r="F121" s="16">
        <v>1.39</v>
      </c>
      <c r="G121" s="74">
        <f>AVERAGE(C121:F121)</f>
        <v>1.2187499999999998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31">
        <v>0</v>
      </c>
      <c r="D124" s="31">
        <v>0</v>
      </c>
      <c r="E124" s="23">
        <v>0</v>
      </c>
      <c r="F124" s="23">
        <v>0</v>
      </c>
      <c r="G124" s="40">
        <f>AVERAGE(C124:F124)</f>
        <v>0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6">
        <v>1.62894167423615</v>
      </c>
      <c r="D126" s="65">
        <v>1.96149346855143</v>
      </c>
      <c r="E126" s="52">
        <v>1.9895560000000001</v>
      </c>
      <c r="F126" s="14">
        <v>0</v>
      </c>
      <c r="G126" s="40">
        <f>AVERAGE(C126:F126)</f>
        <v>1.3949977856968951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77"/>
      <c r="G128" s="153"/>
    </row>
    <row r="129" spans="1:9" x14ac:dyDescent="0.25">
      <c r="B129" s="36" t="s">
        <v>68</v>
      </c>
      <c r="C129" s="41">
        <v>305801</v>
      </c>
      <c r="D129" s="41">
        <v>10985</v>
      </c>
      <c r="E129" s="41">
        <v>8627</v>
      </c>
      <c r="F129" s="41">
        <v>1077</v>
      </c>
      <c r="G129" s="79">
        <f>SUM(C129:F129)</f>
        <v>326490</v>
      </c>
    </row>
    <row r="130" spans="1:9" x14ac:dyDescent="0.25">
      <c r="B130" s="36" t="s">
        <v>69</v>
      </c>
      <c r="C130" s="41">
        <v>200286.16093899999</v>
      </c>
      <c r="D130" s="41">
        <v>4525.0137160000004</v>
      </c>
      <c r="E130" s="41">
        <v>1295</v>
      </c>
      <c r="F130" s="41">
        <v>1358.7231200000001</v>
      </c>
      <c r="G130" s="80">
        <f>SUM(C130:F130)</f>
        <v>207464.89777499999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41">
        <v>685465</v>
      </c>
      <c r="D133" s="41">
        <v>156249</v>
      </c>
      <c r="E133" s="41">
        <f>27504+111234</f>
        <v>138738</v>
      </c>
      <c r="F133" s="41">
        <v>328284</v>
      </c>
      <c r="G133" s="39">
        <f>SUM(C133:F133)</f>
        <v>1308736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41">
        <v>0</v>
      </c>
      <c r="D137" s="41">
        <v>5636</v>
      </c>
      <c r="E137" s="41">
        <v>0</v>
      </c>
      <c r="F137" s="41">
        <v>15891</v>
      </c>
      <c r="G137" s="41">
        <f>SUM(C137:F137)</f>
        <v>21527</v>
      </c>
      <c r="H137" s="9"/>
      <c r="I137" s="9"/>
    </row>
    <row r="138" spans="1:9" x14ac:dyDescent="0.25">
      <c r="B138" s="36" t="s">
        <v>75</v>
      </c>
      <c r="C138" s="41">
        <v>0</v>
      </c>
      <c r="D138" s="41">
        <v>6</v>
      </c>
      <c r="E138" s="41">
        <v>0</v>
      </c>
      <c r="F138" s="41">
        <v>192</v>
      </c>
      <c r="G138" s="41">
        <f>SUM(C138:F138)</f>
        <v>198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43">
        <v>36</v>
      </c>
      <c r="D147" s="43">
        <v>851</v>
      </c>
      <c r="E147" s="41">
        <v>0</v>
      </c>
      <c r="F147" s="43">
        <v>857</v>
      </c>
      <c r="G147" s="39">
        <f>SUM(C147:F147)</f>
        <v>1744</v>
      </c>
    </row>
    <row r="148" spans="1:8" x14ac:dyDescent="0.25">
      <c r="B148" s="36" t="s">
        <v>82</v>
      </c>
      <c r="C148" s="43">
        <f>762000/1000000</f>
        <v>0.76200000000000001</v>
      </c>
      <c r="D148" s="43">
        <v>17.1205</v>
      </c>
      <c r="E148" s="41">
        <v>0</v>
      </c>
      <c r="F148" s="43">
        <v>10.34525</v>
      </c>
      <c r="G148" s="13">
        <f>SUM(C148:F148)</f>
        <v>28.22775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43">
        <v>183</v>
      </c>
      <c r="E151" s="43">
        <v>333</v>
      </c>
      <c r="F151" s="33">
        <v>0</v>
      </c>
      <c r="G151" s="39">
        <f>SUM(C151:F151)</f>
        <v>516</v>
      </c>
      <c r="H151" s="26"/>
    </row>
    <row r="152" spans="1:8" x14ac:dyDescent="0.25">
      <c r="B152" s="36" t="s">
        <v>85</v>
      </c>
      <c r="C152" s="36">
        <v>0</v>
      </c>
      <c r="D152" s="43">
        <v>6.4249999999999998</v>
      </c>
      <c r="E152" s="43">
        <f>7031000/1000000</f>
        <v>7.0309999999999997</v>
      </c>
      <c r="F152" s="33">
        <v>0</v>
      </c>
      <c r="G152" s="13">
        <f>SUM(C152:F152)</f>
        <v>13.456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559</v>
      </c>
      <c r="E155" s="53">
        <v>0</v>
      </c>
      <c r="F155" s="53">
        <v>5</v>
      </c>
      <c r="G155" s="39">
        <f>SUM(C155:F155)</f>
        <v>564</v>
      </c>
      <c r="H155" s="26"/>
    </row>
    <row r="156" spans="1:8" x14ac:dyDescent="0.25">
      <c r="B156" s="36" t="s">
        <v>88</v>
      </c>
      <c r="C156" s="13">
        <v>0</v>
      </c>
      <c r="D156" s="41">
        <v>6.4</v>
      </c>
      <c r="E156" s="49">
        <v>0</v>
      </c>
      <c r="F156" s="133">
        <v>0</v>
      </c>
      <c r="G156" s="13">
        <f>SUM(C156:F156)</f>
        <v>6.4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2">
        <f>+C155+C151+C147</f>
        <v>36</v>
      </c>
      <c r="D159" s="22">
        <f>D147+D151+D155</f>
        <v>1593</v>
      </c>
      <c r="E159" s="22">
        <f>+E155+E151+E147</f>
        <v>333</v>
      </c>
      <c r="F159" s="22">
        <f>+F147+F155</f>
        <v>862</v>
      </c>
      <c r="G159" s="22">
        <f>SUM(C159:F159)</f>
        <v>2824</v>
      </c>
    </row>
    <row r="160" spans="1:8" x14ac:dyDescent="0.25">
      <c r="B160" s="21" t="s">
        <v>91</v>
      </c>
      <c r="C160" s="22">
        <f>+C156+C152+C148</f>
        <v>0.76200000000000001</v>
      </c>
      <c r="D160" s="22">
        <f>D148+D152+D156</f>
        <v>29.945500000000003</v>
      </c>
      <c r="E160" s="22">
        <f>+E156+E152+E148</f>
        <v>7.0309999999999997</v>
      </c>
      <c r="F160" s="22">
        <f>+F148+F156</f>
        <v>10.34525</v>
      </c>
      <c r="G160" s="25">
        <f>SUM(C160:F160)</f>
        <v>48.083750000000002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41">
        <v>3238</v>
      </c>
      <c r="D163" s="41">
        <v>58491</v>
      </c>
      <c r="E163" s="77">
        <v>3339</v>
      </c>
      <c r="F163" s="41">
        <v>16465</v>
      </c>
      <c r="G163" s="39">
        <f>SUM(C163:F163)</f>
        <v>81533</v>
      </c>
    </row>
    <row r="164" spans="1:8" x14ac:dyDescent="0.25">
      <c r="B164" s="17" t="s">
        <v>88</v>
      </c>
      <c r="C164" s="41">
        <f>78330698/1000000</f>
        <v>78.330697999999998</v>
      </c>
      <c r="D164" s="41">
        <v>301.46996400000006</v>
      </c>
      <c r="E164" s="49">
        <f>44909934/1000000</f>
        <v>44.909934</v>
      </c>
      <c r="F164" s="41">
        <v>102.131117</v>
      </c>
      <c r="G164" s="13">
        <f>SUM(C164:F164)</f>
        <v>526.84171300000003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66"/>
      <c r="G167" s="151"/>
    </row>
    <row r="168" spans="1:8" x14ac:dyDescent="0.25">
      <c r="B168" s="36" t="s">
        <v>95</v>
      </c>
      <c r="C168" s="41">
        <v>213</v>
      </c>
      <c r="D168" s="41">
        <v>6125</v>
      </c>
      <c r="E168" s="41">
        <v>41</v>
      </c>
      <c r="F168" s="36">
        <v>495</v>
      </c>
      <c r="G168" s="79">
        <f>SUM(C168:F168)</f>
        <v>6874</v>
      </c>
    </row>
    <row r="169" spans="1:8" x14ac:dyDescent="0.25">
      <c r="B169" s="36" t="s">
        <v>96</v>
      </c>
      <c r="C169" s="41">
        <f>5325000/1000000</f>
        <v>5.3250000000000002</v>
      </c>
      <c r="D169" s="41">
        <v>103.575</v>
      </c>
      <c r="E169" s="41">
        <f>820000/1000000</f>
        <v>0.82</v>
      </c>
      <c r="F169" s="41">
        <v>18.21</v>
      </c>
      <c r="G169" s="80">
        <f>SUM(C169:F169)</f>
        <v>127.93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66"/>
      <c r="G171" s="151"/>
    </row>
    <row r="172" spans="1:8" x14ac:dyDescent="0.25">
      <c r="B172" s="36" t="s">
        <v>98</v>
      </c>
      <c r="C172" s="58">
        <v>1144</v>
      </c>
      <c r="D172" s="58">
        <v>498</v>
      </c>
      <c r="E172" s="58">
        <v>115</v>
      </c>
      <c r="F172" s="58">
        <v>325</v>
      </c>
      <c r="G172" s="79">
        <f>SUM(C172:F172)</f>
        <v>2082</v>
      </c>
    </row>
    <row r="173" spans="1:8" x14ac:dyDescent="0.25">
      <c r="B173" s="36" t="s">
        <v>96</v>
      </c>
      <c r="C173" s="58">
        <f>25168000/1000000</f>
        <v>25.167999999999999</v>
      </c>
      <c r="D173" s="58">
        <v>10.433999999999999</v>
      </c>
      <c r="E173" s="58">
        <f>2875000/1000000</f>
        <v>2.875</v>
      </c>
      <c r="F173" s="58">
        <v>7.0579999999999998</v>
      </c>
      <c r="G173" s="80">
        <f>SUM(C173:F173)</f>
        <v>45.534999999999997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74" t="s">
        <v>99</v>
      </c>
      <c r="C175" s="175"/>
      <c r="D175" s="175"/>
      <c r="E175" s="175"/>
      <c r="F175" s="178"/>
      <c r="G175" s="176"/>
    </row>
    <row r="176" spans="1:8" x14ac:dyDescent="0.25">
      <c r="B176" s="6" t="s">
        <v>98</v>
      </c>
      <c r="C176" s="58">
        <v>272</v>
      </c>
      <c r="D176" s="58">
        <v>249</v>
      </c>
      <c r="E176" s="58">
        <v>147</v>
      </c>
      <c r="F176" s="58">
        <v>41</v>
      </c>
      <c r="G176" s="104">
        <f>SUM(C176:F176)</f>
        <v>709</v>
      </c>
    </row>
    <row r="177" spans="1:8" x14ac:dyDescent="0.25">
      <c r="B177" s="36" t="s">
        <v>96</v>
      </c>
      <c r="C177" s="58">
        <f>19040000/1000000</f>
        <v>19.04</v>
      </c>
      <c r="D177" s="58">
        <v>19.670000000000002</v>
      </c>
      <c r="E177" s="58">
        <f>7936533/1000000</f>
        <v>7.9365329999999998</v>
      </c>
      <c r="F177" s="58">
        <v>4.21</v>
      </c>
      <c r="G177" s="90">
        <f>SUM(C177:F177)</f>
        <v>50.856532999999999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58">
        <v>347</v>
      </c>
      <c r="D180" s="58">
        <v>2933</v>
      </c>
      <c r="E180" s="58">
        <f t="shared" ref="E180" si="5">+E176+E172+E168+E164</f>
        <v>347.90993400000002</v>
      </c>
      <c r="F180" s="41">
        <f>+F176+F172+F168+F164</f>
        <v>963.13111700000002</v>
      </c>
      <c r="G180" s="39">
        <f>SUM(C180:F180)</f>
        <v>4591.0410510000002</v>
      </c>
    </row>
    <row r="181" spans="1:8" x14ac:dyDescent="0.25">
      <c r="B181" s="36" t="s">
        <v>96</v>
      </c>
      <c r="C181" s="58">
        <f>10515000/1000000</f>
        <v>10.515000000000001</v>
      </c>
      <c r="D181" s="58">
        <v>30.144659999999998</v>
      </c>
      <c r="E181" s="58">
        <f>+E177+E173+E169+E165</f>
        <v>11.631533000000001</v>
      </c>
      <c r="F181" s="41">
        <f>+F177+F173+F169+F165</f>
        <v>29.478000000000002</v>
      </c>
      <c r="G181" s="13">
        <f>SUM(C181:F181)</f>
        <v>81.769193000000001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22">
        <f>+C180+C176+C172+C168</f>
        <v>1976</v>
      </c>
      <c r="D184" s="22">
        <f>D168+D172+D176+D180</f>
        <v>9805</v>
      </c>
      <c r="E184" s="22">
        <v>303</v>
      </c>
      <c r="F184" s="22">
        <f>F163+F168+F172+F176+F159</f>
        <v>18188</v>
      </c>
      <c r="G184" s="22">
        <f>SUM(C184:F184)</f>
        <v>30272</v>
      </c>
    </row>
    <row r="185" spans="1:8" x14ac:dyDescent="0.25">
      <c r="B185" s="21" t="s">
        <v>103</v>
      </c>
      <c r="C185" s="22">
        <f>+C181+C177+C173+C169</f>
        <v>60.048000000000002</v>
      </c>
      <c r="D185" s="22">
        <f>D169+D173+D177+D181</f>
        <v>163.82365999999999</v>
      </c>
      <c r="E185" s="22">
        <v>11.631533000000001</v>
      </c>
      <c r="F185" s="22">
        <f>F164+F169+F173+F177+F160</f>
        <v>141.95436699999999</v>
      </c>
      <c r="G185" s="25">
        <f>SUM(C185:F185)</f>
        <v>377.45755999999994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41">
        <v>382</v>
      </c>
      <c r="D188" s="41">
        <v>371</v>
      </c>
      <c r="E188" s="41">
        <v>71</v>
      </c>
      <c r="F188" s="41">
        <f>F167+F172+F176+F180+F163</f>
        <v>17794.131117000001</v>
      </c>
      <c r="G188" s="39">
        <f>SUM(C188:F188)</f>
        <v>18618.131117000001</v>
      </c>
    </row>
    <row r="189" spans="1:8" x14ac:dyDescent="0.25">
      <c r="B189" s="17" t="s">
        <v>106</v>
      </c>
      <c r="C189" s="41">
        <f>4094352/1000000</f>
        <v>4.0943519999999998</v>
      </c>
      <c r="D189" s="41">
        <v>5.3098709999999993</v>
      </c>
      <c r="E189" s="41">
        <f>2890000/1000000</f>
        <v>2.89</v>
      </c>
      <c r="F189" s="41">
        <f>F168+F173+F177+F181+F164</f>
        <v>637.877117</v>
      </c>
      <c r="G189" s="13">
        <f>SUM(C189:F189)</f>
        <v>650.17133999999999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5843</v>
      </c>
      <c r="D192" s="22">
        <f>+D188+D184+D163+D159</f>
        <v>70260</v>
      </c>
      <c r="E192" s="22">
        <f t="shared" ref="E192:E193" si="6">+E188+E184+E163+E159</f>
        <v>4046</v>
      </c>
      <c r="F192" s="22">
        <f>F159+F163+F184+F188</f>
        <v>53309.131116999997</v>
      </c>
      <c r="G192" s="22">
        <f>SUM(C192:F192)</f>
        <v>133458.13111700001</v>
      </c>
    </row>
    <row r="193" spans="2:7" x14ac:dyDescent="0.25">
      <c r="B193" s="21" t="s">
        <v>109</v>
      </c>
      <c r="C193" s="22">
        <f>146675087/1000000</f>
        <v>146.67508699999999</v>
      </c>
      <c r="D193" s="22">
        <f>+D189+D185+D164+D160</f>
        <v>500.54899500000005</v>
      </c>
      <c r="E193" s="22">
        <f t="shared" si="6"/>
        <v>66.462467000000004</v>
      </c>
      <c r="F193" s="22">
        <f>F160+F185+F164+F189</f>
        <v>892.30785100000003</v>
      </c>
      <c r="G193" s="25">
        <f>SUM(C193:F193)</f>
        <v>1605.9944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0">
    <mergeCell ref="B190:H190"/>
    <mergeCell ref="B191:G191"/>
    <mergeCell ref="B178:H178"/>
    <mergeCell ref="B179:G179"/>
    <mergeCell ref="B182:H182"/>
    <mergeCell ref="B183:G183"/>
    <mergeCell ref="B186:H186"/>
    <mergeCell ref="B187:G187"/>
    <mergeCell ref="B175:G175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74:H174"/>
    <mergeCell ref="B153:H153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50:G150"/>
    <mergeCell ref="B134:H134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32:G132"/>
    <mergeCell ref="B105:G105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104:G104"/>
    <mergeCell ref="B53:G53"/>
    <mergeCell ref="B32:G32"/>
    <mergeCell ref="B36:H36"/>
    <mergeCell ref="B37:G37"/>
    <mergeCell ref="B38:G38"/>
    <mergeCell ref="B41:H41"/>
    <mergeCell ref="B42:G42"/>
    <mergeCell ref="B46:G46"/>
    <mergeCell ref="B49:H49"/>
    <mergeCell ref="B50:G50"/>
    <mergeCell ref="B51:H51"/>
    <mergeCell ref="B52:G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7DDD-6BDA-4ACF-BD16-8995CF22158E}">
  <dimension ref="A1:BD197"/>
  <sheetViews>
    <sheetView topLeftCell="B1" zoomScaleNormal="100" workbookViewId="0">
      <selection activeCell="C124" sqref="C124"/>
    </sheetView>
  </sheetViews>
  <sheetFormatPr baseColWidth="10" defaultColWidth="9.140625" defaultRowHeight="15" x14ac:dyDescent="0.25"/>
  <cols>
    <col min="1" max="1" width="11.425781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4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41">
        <v>56712</v>
      </c>
      <c r="D6" s="41">
        <v>8450</v>
      </c>
      <c r="E6" s="20">
        <v>9974</v>
      </c>
      <c r="F6" s="15">
        <v>10854</v>
      </c>
      <c r="G6" s="15">
        <f>+F6+E6+D6+C6</f>
        <v>85990</v>
      </c>
    </row>
    <row r="7" spans="1:7" x14ac:dyDescent="0.25">
      <c r="B7" s="36" t="s">
        <v>10</v>
      </c>
      <c r="C7" s="67">
        <v>523</v>
      </c>
      <c r="D7" s="41">
        <v>227</v>
      </c>
      <c r="E7" s="20">
        <v>11</v>
      </c>
      <c r="F7" s="15">
        <v>129</v>
      </c>
      <c r="G7" s="15">
        <f>+F7+E7+D7+C7</f>
        <v>890</v>
      </c>
    </row>
    <row r="8" spans="1:7" x14ac:dyDescent="0.25">
      <c r="B8" s="21" t="s">
        <v>11</v>
      </c>
      <c r="C8" s="30">
        <f>SUM(C6:C7)</f>
        <v>57235</v>
      </c>
      <c r="D8" s="35">
        <f>+D6+D7</f>
        <v>8677</v>
      </c>
      <c r="E8" s="30">
        <f>SUM(E6:E7)</f>
        <v>9985</v>
      </c>
      <c r="F8" s="30">
        <f>SUM(F6:F7)</f>
        <v>10983</v>
      </c>
      <c r="G8" s="30">
        <f>+F8+E8+D8+C8</f>
        <v>86880</v>
      </c>
    </row>
    <row r="9" spans="1:7" x14ac:dyDescent="0.25">
      <c r="B9" s="139"/>
      <c r="C9" s="139"/>
      <c r="D9" s="139"/>
      <c r="E9" s="139"/>
      <c r="F9" s="139"/>
      <c r="G9" s="13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991229</v>
      </c>
      <c r="D12" s="41">
        <v>152210</v>
      </c>
      <c r="E12" s="41">
        <v>58516</v>
      </c>
      <c r="F12" s="20">
        <v>0</v>
      </c>
      <c r="G12" s="20">
        <f>SUM(C12:F12)</f>
        <v>1201955</v>
      </c>
    </row>
    <row r="13" spans="1:7" x14ac:dyDescent="0.25">
      <c r="B13" s="19" t="s">
        <v>15</v>
      </c>
      <c r="C13" s="15">
        <v>2332353</v>
      </c>
      <c r="D13" s="41">
        <v>519844</v>
      </c>
      <c r="E13" s="41">
        <v>232225</v>
      </c>
      <c r="F13" s="20">
        <v>0</v>
      </c>
      <c r="G13" s="20">
        <f>SUM(C13:F13)</f>
        <v>3084422</v>
      </c>
    </row>
    <row r="14" spans="1:7" x14ac:dyDescent="0.25">
      <c r="B14" s="21" t="s">
        <v>16</v>
      </c>
      <c r="C14" s="22">
        <f>SUM(C12:C13)</f>
        <v>3323582</v>
      </c>
      <c r="D14" s="22">
        <v>934863</v>
      </c>
      <c r="E14" s="22">
        <v>290741</v>
      </c>
      <c r="F14" s="22">
        <v>379990</v>
      </c>
      <c r="G14" s="22">
        <f>SUM(C14:F14)</f>
        <v>4929176</v>
      </c>
    </row>
    <row r="15" spans="1:7" x14ac:dyDescent="0.25">
      <c r="B15" s="21" t="s">
        <v>17</v>
      </c>
      <c r="C15" s="22">
        <v>408497</v>
      </c>
      <c r="D15" s="22">
        <v>135668</v>
      </c>
      <c r="E15" s="22">
        <v>2758</v>
      </c>
      <c r="F15" s="22">
        <v>82495</v>
      </c>
      <c r="G15" s="22">
        <f>SUM(C15:F15)</f>
        <v>629418</v>
      </c>
    </row>
    <row r="16" spans="1:7" x14ac:dyDescent="0.25">
      <c r="B16" s="21" t="s">
        <v>18</v>
      </c>
      <c r="C16" s="22">
        <f>C15+C14</f>
        <v>3732079</v>
      </c>
      <c r="D16" s="22">
        <f>+D14+D15</f>
        <v>1070531</v>
      </c>
      <c r="E16" s="22">
        <f>SUM(E14:E15)</f>
        <v>293499</v>
      </c>
      <c r="F16" s="22">
        <f>SUM(F12:F15)</f>
        <v>462485</v>
      </c>
      <c r="G16" s="22">
        <f>SUM(C16:F16)</f>
        <v>5558594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41">
        <v>3905</v>
      </c>
      <c r="D19" s="41">
        <v>2603</v>
      </c>
      <c r="E19" s="28">
        <v>0</v>
      </c>
      <c r="F19" s="28"/>
      <c r="G19" s="76">
        <f>SUM(C19:F19)</f>
        <v>6508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22">
        <v>3735984</v>
      </c>
      <c r="D21" s="22">
        <v>1073134</v>
      </c>
      <c r="E21" s="22">
        <f>+E19+E16</f>
        <v>293499</v>
      </c>
      <c r="F21" s="22">
        <f>F16</f>
        <v>462485</v>
      </c>
      <c r="G21" s="22">
        <f>SUM(C21:F21)</f>
        <v>5565102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22">
        <v>420859</v>
      </c>
      <c r="D24" s="22">
        <v>238531</v>
      </c>
      <c r="E24" s="22">
        <v>138586</v>
      </c>
      <c r="F24" s="22">
        <v>658167</v>
      </c>
      <c r="G24" s="22">
        <f>SUM(C24:F24)</f>
        <v>1456143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35">
        <v>4156843</v>
      </c>
      <c r="D27" s="35">
        <f>+D24+D21</f>
        <v>1311665</v>
      </c>
      <c r="E27" s="22">
        <f>+E21+E24</f>
        <v>432085</v>
      </c>
      <c r="F27" s="22">
        <f>+F24+F21</f>
        <v>1120652</v>
      </c>
      <c r="G27" s="22">
        <f>SUM(C27:F27)</f>
        <v>7021245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46" t="s">
        <v>26</v>
      </c>
      <c r="C29" s="147"/>
      <c r="D29" s="147"/>
      <c r="E29" s="147"/>
      <c r="F29" s="147"/>
      <c r="G29" s="148"/>
    </row>
    <row r="30" spans="2:8" x14ac:dyDescent="0.25">
      <c r="B30" s="36" t="s">
        <v>27</v>
      </c>
      <c r="C30" s="41">
        <v>1306759</v>
      </c>
      <c r="D30" s="41">
        <v>236071</v>
      </c>
      <c r="E30" s="41">
        <v>112323</v>
      </c>
      <c r="F30" s="41">
        <v>226585</v>
      </c>
      <c r="G30" s="41">
        <f>SUM(C30:F30)</f>
        <v>1881738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2777764405648</v>
      </c>
      <c r="D33" s="41">
        <v>499291028544</v>
      </c>
      <c r="E33" s="41">
        <v>217036484064</v>
      </c>
      <c r="F33" s="41">
        <v>260608671735</v>
      </c>
      <c r="G33" s="41">
        <f>SUM(C33:F33)</f>
        <v>3754700589991</v>
      </c>
    </row>
    <row r="34" spans="1:9" x14ac:dyDescent="0.25">
      <c r="B34" s="36" t="s">
        <v>30</v>
      </c>
      <c r="C34" s="41">
        <v>124242779954</v>
      </c>
      <c r="D34" s="41">
        <f>206572.7238429*D24</f>
        <v>49273998390.970779</v>
      </c>
      <c r="E34" s="41">
        <v>30493205900</v>
      </c>
      <c r="F34" s="41">
        <v>94866277642</v>
      </c>
      <c r="G34" s="41">
        <f>SUM(C34:F34)</f>
        <v>298876261886.97076</v>
      </c>
    </row>
    <row r="35" spans="1:9" x14ac:dyDescent="0.25">
      <c r="B35" s="21" t="s">
        <v>31</v>
      </c>
      <c r="C35" s="22">
        <f>SUM(C33:C34)</f>
        <v>2902007185602</v>
      </c>
      <c r="D35" s="22">
        <f>+D34+D33</f>
        <v>548565026934.97076</v>
      </c>
      <c r="E35" s="22">
        <f>+E33+E34</f>
        <v>247529689964</v>
      </c>
      <c r="F35" s="22">
        <f>SUM(F33:F34)</f>
        <v>355474949377</v>
      </c>
      <c r="G35" s="22">
        <f>SUM(C35:F35)</f>
        <v>4053576851877.9707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597569</v>
      </c>
      <c r="D39" s="41">
        <v>164945</v>
      </c>
      <c r="E39" s="41">
        <v>64544</v>
      </c>
      <c r="F39" s="41">
        <v>74293</v>
      </c>
      <c r="G39" s="39">
        <f>SUM(C39:F39)</f>
        <v>901351</v>
      </c>
      <c r="H39" s="9"/>
      <c r="I39" s="9"/>
    </row>
    <row r="40" spans="1:9" x14ac:dyDescent="0.25">
      <c r="B40" s="36" t="s">
        <v>35</v>
      </c>
      <c r="C40" s="41">
        <f>2456798992/1000000</f>
        <v>2456.798992</v>
      </c>
      <c r="D40" s="34">
        <v>885.47767199999998</v>
      </c>
      <c r="E40" s="41">
        <v>360</v>
      </c>
      <c r="F40" s="15">
        <v>418</v>
      </c>
      <c r="G40" s="13">
        <f>SUM(C40:F40)</f>
        <v>4120.276664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36" t="s">
        <v>37</v>
      </c>
      <c r="C43" s="41">
        <v>69</v>
      </c>
      <c r="D43" s="41">
        <v>32</v>
      </c>
      <c r="E43" s="41">
        <v>27</v>
      </c>
      <c r="F43" s="41">
        <v>18</v>
      </c>
      <c r="G43" s="39">
        <f>SUM(C43:F43)</f>
        <v>146</v>
      </c>
      <c r="H43" s="9"/>
      <c r="I43" s="9"/>
    </row>
    <row r="44" spans="1:9" x14ac:dyDescent="0.25">
      <c r="B44" s="36" t="s">
        <v>38</v>
      </c>
      <c r="C44" s="40">
        <f>5362446/1000000</f>
        <v>5.3624460000000003</v>
      </c>
      <c r="D44" s="16">
        <v>0.399754</v>
      </c>
      <c r="E44" s="40">
        <v>0.3</v>
      </c>
      <c r="F44" s="71">
        <v>0.121561</v>
      </c>
      <c r="G44" s="13">
        <f>SUM(C44:F44)</f>
        <v>6.1837609999999996</v>
      </c>
      <c r="H44" s="9"/>
      <c r="I44" s="9"/>
    </row>
    <row r="45" spans="1:9" x14ac:dyDescent="0.25">
      <c r="A45" s="4"/>
      <c r="B45" s="139"/>
      <c r="C45" s="139"/>
      <c r="D45" s="139"/>
      <c r="E45" s="139"/>
      <c r="F45" s="139"/>
      <c r="G45" s="139"/>
      <c r="H45" s="139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104113</v>
      </c>
      <c r="D47" s="41">
        <v>57490</v>
      </c>
      <c r="E47" s="41">
        <v>10460</v>
      </c>
      <c r="F47" s="41">
        <v>37032</v>
      </c>
      <c r="G47" s="41">
        <f>SUM(C47:F47)</f>
        <v>209095</v>
      </c>
      <c r="H47" s="9"/>
      <c r="I47" s="9"/>
    </row>
    <row r="48" spans="1:9" x14ac:dyDescent="0.25">
      <c r="B48" s="36" t="s">
        <v>41</v>
      </c>
      <c r="C48" s="41">
        <f>(32011138418+888668349)/1000000</f>
        <v>32899.806767000002</v>
      </c>
      <c r="D48" s="41">
        <v>16221.193008</v>
      </c>
      <c r="E48" s="41">
        <f>5782816962/1000000</f>
        <v>5782.8169619999999</v>
      </c>
      <c r="F48" s="15">
        <v>4505</v>
      </c>
      <c r="G48" s="13">
        <f>SUM(C48:F48)</f>
        <v>59408.816737000001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126759</v>
      </c>
      <c r="D54" s="41">
        <v>7293</v>
      </c>
      <c r="E54" s="42">
        <v>2879</v>
      </c>
      <c r="F54" s="41">
        <v>5317</v>
      </c>
      <c r="G54" s="41">
        <f t="shared" ref="G54:G70" si="0">SUM(C54:F54)</f>
        <v>142248</v>
      </c>
    </row>
    <row r="55" spans="1:8" x14ac:dyDescent="0.25">
      <c r="B55" s="36" t="s">
        <v>46</v>
      </c>
      <c r="C55" s="41">
        <v>68021.872973000005</v>
      </c>
      <c r="D55" s="41">
        <v>12343.955053</v>
      </c>
      <c r="E55" s="42">
        <v>5242.937062</v>
      </c>
      <c r="F55" s="42">
        <v>9191</v>
      </c>
      <c r="G55" s="41">
        <f t="shared" si="0"/>
        <v>94799.765088</v>
      </c>
    </row>
    <row r="56" spans="1:8" x14ac:dyDescent="0.25">
      <c r="B56" s="36" t="s">
        <v>47</v>
      </c>
      <c r="C56" s="41">
        <v>12</v>
      </c>
      <c r="D56" s="41">
        <v>38.359771841758345</v>
      </c>
      <c r="E56" s="59">
        <v>27</v>
      </c>
      <c r="F56" s="41">
        <v>31</v>
      </c>
      <c r="G56" s="41">
        <f>AVERAGE(C56:F56)</f>
        <v>27.089942960439586</v>
      </c>
    </row>
    <row r="57" spans="1:8" x14ac:dyDescent="0.25">
      <c r="B57" s="36" t="s">
        <v>48</v>
      </c>
      <c r="C57" s="41">
        <v>1040797</v>
      </c>
      <c r="D57" s="41">
        <v>192094</v>
      </c>
      <c r="E57" s="42">
        <v>63087</v>
      </c>
      <c r="F57" s="71">
        <v>95992</v>
      </c>
      <c r="G57" s="41">
        <f t="shared" si="0"/>
        <v>1391970</v>
      </c>
    </row>
    <row r="58" spans="1:8" x14ac:dyDescent="0.25">
      <c r="B58" s="36" t="s">
        <v>49</v>
      </c>
      <c r="C58" s="41">
        <v>1479032.250669</v>
      </c>
      <c r="D58" s="41">
        <v>329157.70358500001</v>
      </c>
      <c r="E58" s="60">
        <v>98554.32965</v>
      </c>
      <c r="F58" s="71">
        <v>170246</v>
      </c>
      <c r="G58" s="13">
        <f t="shared" si="0"/>
        <v>2076990.283904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7177</v>
      </c>
      <c r="D66" s="41">
        <v>4150</v>
      </c>
      <c r="E66" s="42">
        <v>2828</v>
      </c>
      <c r="F66" s="42">
        <v>13049</v>
      </c>
      <c r="G66" s="39">
        <f t="shared" si="0"/>
        <v>27204</v>
      </c>
    </row>
    <row r="67" spans="1:8" x14ac:dyDescent="0.25">
      <c r="B67" s="36" t="s">
        <v>46</v>
      </c>
      <c r="C67" s="41">
        <v>3712.9432649999999</v>
      </c>
      <c r="D67" s="41">
        <v>4831.8672390000002</v>
      </c>
      <c r="E67" s="42">
        <v>3150.1924960000001</v>
      </c>
      <c r="F67" s="42">
        <v>11856</v>
      </c>
      <c r="G67" s="39">
        <f t="shared" si="0"/>
        <v>23551.003000000001</v>
      </c>
    </row>
    <row r="68" spans="1:8" x14ac:dyDescent="0.25">
      <c r="B68" s="36" t="s">
        <v>47</v>
      </c>
      <c r="C68" s="41">
        <v>34</v>
      </c>
      <c r="D68" s="41">
        <v>53.06185580236717</v>
      </c>
      <c r="E68" s="42">
        <v>38</v>
      </c>
      <c r="F68" s="41">
        <v>41</v>
      </c>
      <c r="G68" s="39">
        <f>AVERAGE(C68:F68)</f>
        <v>41.515463950591794</v>
      </c>
    </row>
    <row r="69" spans="1:8" x14ac:dyDescent="0.25">
      <c r="B69" s="36" t="s">
        <v>48</v>
      </c>
      <c r="C69" s="41">
        <v>140597</v>
      </c>
      <c r="D69" s="41">
        <v>104152</v>
      </c>
      <c r="E69" s="42">
        <v>61270</v>
      </c>
      <c r="F69" s="15">
        <v>290695</v>
      </c>
      <c r="G69" s="39">
        <f t="shared" si="0"/>
        <v>596714</v>
      </c>
    </row>
    <row r="70" spans="1:8" x14ac:dyDescent="0.25">
      <c r="B70" s="36" t="s">
        <v>49</v>
      </c>
      <c r="C70" s="41">
        <v>101548.40769599999</v>
      </c>
      <c r="D70" s="41">
        <v>83517.241280999995</v>
      </c>
      <c r="E70" s="42">
        <v>45843.741684000001</v>
      </c>
      <c r="F70" s="9">
        <v>182452</v>
      </c>
      <c r="G70" s="40">
        <f t="shared" si="0"/>
        <v>413361.39066099998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133937</v>
      </c>
      <c r="D72" s="22">
        <f>+D66+D60+D54</f>
        <v>11443</v>
      </c>
      <c r="E72" s="22">
        <f t="shared" ref="E72:E73" si="1">+E66+E60+E54</f>
        <v>5707</v>
      </c>
      <c r="F72" s="22">
        <f>+F54+F66</f>
        <v>18366</v>
      </c>
      <c r="G72" s="22">
        <f>SUM(C72:F72)</f>
        <v>169453</v>
      </c>
    </row>
    <row r="73" spans="1:8" x14ac:dyDescent="0.25">
      <c r="B73" s="21" t="s">
        <v>46</v>
      </c>
      <c r="C73" s="22">
        <v>71734.857633000007</v>
      </c>
      <c r="D73" s="22">
        <f t="shared" ref="D73:E76" si="2">+D67+D61+D55</f>
        <v>17175.822292000001</v>
      </c>
      <c r="E73" s="22">
        <f t="shared" si="1"/>
        <v>8393.1295580000005</v>
      </c>
      <c r="F73" s="72">
        <f>+F55+F67</f>
        <v>21047</v>
      </c>
      <c r="G73" s="25">
        <f>SUM(C73:F73)</f>
        <v>118350.809483</v>
      </c>
    </row>
    <row r="74" spans="1:8" x14ac:dyDescent="0.25">
      <c r="B74" s="21" t="s">
        <v>47</v>
      </c>
      <c r="C74" s="22">
        <v>13</v>
      </c>
      <c r="D74" s="22">
        <f>(+D56+D62+D68)/3</f>
        <v>30.473875881375175</v>
      </c>
      <c r="E74" s="22">
        <v>33</v>
      </c>
      <c r="F74" s="22">
        <f>(F56+F68)/2</f>
        <v>36</v>
      </c>
      <c r="G74" s="22">
        <f>AVERAGE(C74:F74)</f>
        <v>28.118468970343795</v>
      </c>
    </row>
    <row r="75" spans="1:8" x14ac:dyDescent="0.25">
      <c r="B75" s="21" t="s">
        <v>48</v>
      </c>
      <c r="C75" s="22">
        <v>1181395</v>
      </c>
      <c r="D75" s="22">
        <f t="shared" si="2"/>
        <v>296246</v>
      </c>
      <c r="E75" s="22">
        <f t="shared" si="2"/>
        <v>124357</v>
      </c>
      <c r="F75" s="22">
        <f>+F57+F69</f>
        <v>386687</v>
      </c>
      <c r="G75" s="22">
        <f>SUM(C75:F75)</f>
        <v>1988685</v>
      </c>
    </row>
    <row r="76" spans="1:8" x14ac:dyDescent="0.25">
      <c r="B76" s="21" t="s">
        <v>49</v>
      </c>
      <c r="C76" s="22">
        <v>1580580.6998699999</v>
      </c>
      <c r="D76" s="22">
        <f>+D70+D64+D58</f>
        <v>412674.94486599998</v>
      </c>
      <c r="E76" s="22">
        <f t="shared" si="2"/>
        <v>144398.07133400001</v>
      </c>
      <c r="F76" s="72">
        <f>+F58+F70</f>
        <v>352698</v>
      </c>
      <c r="G76" s="25">
        <f>SUM(C76:F76)</f>
        <v>2490351.7160700001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B80" s="36" t="s">
        <v>45</v>
      </c>
      <c r="C80" s="29">
        <v>0</v>
      </c>
      <c r="D80" s="36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29">
        <v>0</v>
      </c>
      <c r="D81" s="36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29">
        <v>0</v>
      </c>
      <c r="D82" s="36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41">
        <v>1130</v>
      </c>
      <c r="D83" s="36">
        <v>141</v>
      </c>
      <c r="E83" s="51">
        <v>7</v>
      </c>
      <c r="F83" s="29">
        <v>120</v>
      </c>
      <c r="G83" s="29">
        <f>SUM(C83:F83)</f>
        <v>1398</v>
      </c>
    </row>
    <row r="84" spans="2:7" x14ac:dyDescent="0.25">
      <c r="B84" s="36" t="s">
        <v>49</v>
      </c>
      <c r="C84" s="41">
        <v>22350.18866</v>
      </c>
      <c r="D84" s="41">
        <v>1810</v>
      </c>
      <c r="E84" s="51">
        <v>87</v>
      </c>
      <c r="F84" s="41">
        <v>2084</v>
      </c>
      <c r="G84" s="13">
        <f>SUM(C84:F84)</f>
        <v>26331.18866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70">
        <v>13</v>
      </c>
      <c r="D95" s="64">
        <v>0</v>
      </c>
      <c r="E95" s="23"/>
      <c r="F95" s="29">
        <v>9</v>
      </c>
      <c r="G95" s="39">
        <f>SUM(C95:F95)</f>
        <v>22</v>
      </c>
    </row>
    <row r="96" spans="2:7" x14ac:dyDescent="0.25">
      <c r="B96" s="36" t="s">
        <v>49</v>
      </c>
      <c r="C96" s="56">
        <v>195.46218099999999</v>
      </c>
      <c r="D96" s="64">
        <v>0</v>
      </c>
      <c r="E96" s="23"/>
      <c r="F96" s="29">
        <v>121</v>
      </c>
      <c r="G96" s="13">
        <f>SUM(C96:F96)</f>
        <v>316.46218099999999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2">
        <v>0</v>
      </c>
      <c r="D98" s="22">
        <v>0</v>
      </c>
      <c r="E98" s="22">
        <v>0</v>
      </c>
      <c r="F98" s="24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22">
        <v>0</v>
      </c>
      <c r="E99" s="22">
        <v>0</v>
      </c>
      <c r="F99" s="24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22">
        <v>0</v>
      </c>
      <c r="E100" s="22">
        <v>0</v>
      </c>
      <c r="F100" s="24">
        <v>0</v>
      </c>
      <c r="G100" s="22">
        <f>AVERAGE(C100:F100)</f>
        <v>0</v>
      </c>
    </row>
    <row r="101" spans="1:8" x14ac:dyDescent="0.25">
      <c r="B101" s="21" t="s">
        <v>48</v>
      </c>
      <c r="C101" s="22">
        <v>1143</v>
      </c>
      <c r="D101" s="22">
        <f t="shared" ref="D101:D102" si="3">+D95+D89+D83</f>
        <v>141</v>
      </c>
      <c r="E101" s="22">
        <f>+E83</f>
        <v>7</v>
      </c>
      <c r="F101" s="32">
        <v>0</v>
      </c>
      <c r="G101" s="22">
        <f>SUM(C101:F101)</f>
        <v>1291</v>
      </c>
    </row>
    <row r="102" spans="1:8" x14ac:dyDescent="0.25">
      <c r="B102" s="21" t="s">
        <v>49</v>
      </c>
      <c r="C102" s="22">
        <v>22545.650840999999</v>
      </c>
      <c r="D102" s="22">
        <f t="shared" si="3"/>
        <v>1810</v>
      </c>
      <c r="E102" s="22">
        <f>+E84</f>
        <v>87</v>
      </c>
      <c r="F102" s="25">
        <v>0</v>
      </c>
      <c r="G102" s="25">
        <f>SUM(C102:F102)</f>
        <v>24442.650840999999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6">
        <v>1.5503986379157584</v>
      </c>
      <c r="D106" s="16">
        <v>2.6114088669950903</v>
      </c>
      <c r="E106" s="45">
        <v>2.46</v>
      </c>
      <c r="F106" s="75">
        <v>2.11</v>
      </c>
      <c r="G106" s="74">
        <f>AVERAGE(C106:F106)</f>
        <v>2.1829518762277123</v>
      </c>
    </row>
    <row r="107" spans="1:8" x14ac:dyDescent="0.25">
      <c r="B107" s="36" t="s">
        <v>58</v>
      </c>
      <c r="C107" s="16">
        <v>1.7983697401701133</v>
      </c>
      <c r="D107" s="16">
        <v>2.4469934640522846</v>
      </c>
      <c r="E107" s="48">
        <v>2.38</v>
      </c>
      <c r="F107" s="75">
        <v>2.13</v>
      </c>
      <c r="G107" s="74">
        <f>AVERAGE(C107:F107)</f>
        <v>2.1888408010555995</v>
      </c>
    </row>
    <row r="108" spans="1:8" x14ac:dyDescent="0.25">
      <c r="B108" s="36" t="s">
        <v>59</v>
      </c>
      <c r="C108" s="16">
        <v>1.63</v>
      </c>
      <c r="D108" s="16">
        <v>2.3066611570247888</v>
      </c>
      <c r="E108" s="45">
        <v>2.25</v>
      </c>
      <c r="F108" s="75">
        <v>2.09</v>
      </c>
      <c r="G108" s="74">
        <f>AVERAGE(C108:F108)</f>
        <v>2.0691652892561971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1.2826923076923076</v>
      </c>
      <c r="D110" s="16">
        <v>1.6372727272727274</v>
      </c>
      <c r="E110" s="45">
        <v>1.53</v>
      </c>
      <c r="F110" s="75">
        <v>1.45</v>
      </c>
      <c r="G110" s="74">
        <f>AVERAGE(C110:F110)</f>
        <v>1.4749912587412588</v>
      </c>
    </row>
    <row r="111" spans="1:8" x14ac:dyDescent="0.25">
      <c r="B111" s="36" t="s">
        <v>58</v>
      </c>
      <c r="C111" s="16">
        <v>1.4500000000000011</v>
      </c>
      <c r="D111" s="16">
        <v>1.6588888888888886</v>
      </c>
      <c r="E111" s="45">
        <v>1.57</v>
      </c>
      <c r="F111" s="75">
        <v>1.45</v>
      </c>
      <c r="G111" s="74">
        <f>AVERAGE(C111:F111)</f>
        <v>1.5322222222222226</v>
      </c>
    </row>
    <row r="112" spans="1:8" x14ac:dyDescent="0.25">
      <c r="B112" s="36" t="s">
        <v>59</v>
      </c>
      <c r="C112" s="16">
        <v>1.06</v>
      </c>
      <c r="D112" s="16">
        <v>1.6618181818181834</v>
      </c>
      <c r="E112" s="45">
        <v>1.6</v>
      </c>
      <c r="F112" s="75">
        <v>1.51</v>
      </c>
      <c r="G112" s="74">
        <f>AVERAGE(C112:F112)</f>
        <v>1.4579545454545459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1.2800551267915843</v>
      </c>
      <c r="D115" s="16">
        <v>1.683587443946188</v>
      </c>
      <c r="E115" s="48">
        <v>1.37</v>
      </c>
      <c r="F115" s="73">
        <v>1.39</v>
      </c>
      <c r="G115" s="74">
        <f>AVERAGE(C115:F115)</f>
        <v>1.4309106426844431</v>
      </c>
    </row>
    <row r="116" spans="1:9" x14ac:dyDescent="0.25">
      <c r="B116" s="36" t="s">
        <v>58</v>
      </c>
      <c r="C116" s="16">
        <v>1.3890654205607678</v>
      </c>
      <c r="D116" s="16">
        <v>1.6808626198083056</v>
      </c>
      <c r="E116" s="48">
        <v>1.45</v>
      </c>
      <c r="F116" s="73">
        <v>1.43</v>
      </c>
      <c r="G116" s="74">
        <f>AVERAGE(C116:F116)</f>
        <v>1.4874820100922683</v>
      </c>
    </row>
    <row r="117" spans="1:9" x14ac:dyDescent="0.25">
      <c r="B117" s="36" t="s">
        <v>59</v>
      </c>
      <c r="C117" s="16">
        <v>1.35</v>
      </c>
      <c r="D117" s="16">
        <v>1.6833319167020764</v>
      </c>
      <c r="E117" s="48">
        <v>1.62</v>
      </c>
      <c r="F117" s="73">
        <v>1.56</v>
      </c>
      <c r="G117" s="74">
        <f>AVERAGE(C117:F117)</f>
        <v>1.553332979175519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16">
        <v>0.98</v>
      </c>
      <c r="D119" s="16">
        <v>1.1899999999999993</v>
      </c>
      <c r="E119" s="37">
        <v>0</v>
      </c>
      <c r="F119" s="73">
        <v>0.99</v>
      </c>
      <c r="G119" s="74">
        <f>AVERAGE(C119:F119)</f>
        <v>0.78999999999999981</v>
      </c>
      <c r="I119" s="10"/>
    </row>
    <row r="120" spans="1:9" x14ac:dyDescent="0.25">
      <c r="B120" s="36" t="s">
        <v>58</v>
      </c>
      <c r="C120" s="16">
        <v>0.99</v>
      </c>
      <c r="D120" s="16">
        <v>1.1899999999999993</v>
      </c>
      <c r="E120" s="37">
        <v>0</v>
      </c>
      <c r="F120" s="73">
        <v>1.19</v>
      </c>
      <c r="G120" s="74">
        <f>AVERAGE(C120:F120)</f>
        <v>0.8424999999999998</v>
      </c>
      <c r="I120" s="10"/>
    </row>
    <row r="121" spans="1:9" x14ac:dyDescent="0.25">
      <c r="B121" s="36" t="s">
        <v>59</v>
      </c>
      <c r="C121" s="16">
        <v>0.98999999999999988</v>
      </c>
      <c r="D121" s="16">
        <v>1.1899999999999993</v>
      </c>
      <c r="E121" s="45">
        <v>1.19</v>
      </c>
      <c r="F121" s="73">
        <v>0.99</v>
      </c>
      <c r="G121" s="74">
        <f>AVERAGE(C121:F121)</f>
        <v>1.0899999999999999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111">
        <v>0</v>
      </c>
      <c r="D124" s="31">
        <v>0</v>
      </c>
      <c r="E124" s="23">
        <v>0</v>
      </c>
      <c r="F124" s="23">
        <v>0</v>
      </c>
      <c r="G124" s="40">
        <f>AVERAGE(C124:F124)</f>
        <v>0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11">
        <v>1.92253959602701</v>
      </c>
      <c r="D126" s="65">
        <v>2.0184068570884501</v>
      </c>
      <c r="E126" s="52">
        <v>2.0772520000000001</v>
      </c>
      <c r="F126" s="14">
        <v>0</v>
      </c>
      <c r="G126" s="40">
        <f>AVERAGE(C126:F126)</f>
        <v>1.5045496132788649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53"/>
      <c r="G128" s="153"/>
    </row>
    <row r="129" spans="1:9" x14ac:dyDescent="0.25">
      <c r="B129" s="36" t="s">
        <v>68</v>
      </c>
      <c r="C129" s="41">
        <v>336166</v>
      </c>
      <c r="D129" s="41">
        <v>38509</v>
      </c>
      <c r="E129" s="63">
        <v>8652</v>
      </c>
      <c r="F129" s="63">
        <v>1145</v>
      </c>
      <c r="G129" s="39">
        <f>SUM(C129:F129)</f>
        <v>384472</v>
      </c>
    </row>
    <row r="130" spans="1:9" x14ac:dyDescent="0.25">
      <c r="B130" s="36" t="s">
        <v>69</v>
      </c>
      <c r="C130" s="41">
        <v>171468.88019</v>
      </c>
      <c r="D130" s="41">
        <v>4023.3946179999998</v>
      </c>
      <c r="E130" s="63">
        <v>1164</v>
      </c>
      <c r="F130" s="63">
        <v>1368</v>
      </c>
      <c r="G130" s="13">
        <f>SUM(C130:F130)</f>
        <v>178024.27480799999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41">
        <v>730674</v>
      </c>
      <c r="D133" s="41">
        <v>247510</v>
      </c>
      <c r="E133" s="41">
        <f>33863+112217</f>
        <v>146080</v>
      </c>
      <c r="F133" s="41">
        <v>367448</v>
      </c>
      <c r="G133" s="39">
        <f>SUM(C133:F133)</f>
        <v>1491712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39">
        <v>0</v>
      </c>
      <c r="D137" s="41">
        <v>7559</v>
      </c>
      <c r="E137" s="39">
        <v>0</v>
      </c>
      <c r="F137" s="41">
        <v>16062</v>
      </c>
      <c r="G137" s="41">
        <f>SUM(C137:F137)</f>
        <v>23621</v>
      </c>
      <c r="H137" s="9"/>
      <c r="I137" s="9"/>
    </row>
    <row r="138" spans="1:9" x14ac:dyDescent="0.25">
      <c r="B138" s="36" t="s">
        <v>75</v>
      </c>
      <c r="C138" s="39">
        <v>0</v>
      </c>
      <c r="D138" s="41">
        <v>1155</v>
      </c>
      <c r="E138" s="39">
        <v>0</v>
      </c>
      <c r="F138" s="41">
        <v>291</v>
      </c>
      <c r="G138" s="41">
        <f>SUM(C138:F138)</f>
        <v>1446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36">
        <v>561</v>
      </c>
      <c r="D147" s="41">
        <v>2255</v>
      </c>
      <c r="E147" s="63">
        <v>0</v>
      </c>
      <c r="F147" s="1">
        <v>546</v>
      </c>
      <c r="G147" s="39">
        <f>SUM(C147:F147)</f>
        <v>3362</v>
      </c>
    </row>
    <row r="148" spans="1:8" x14ac:dyDescent="0.25">
      <c r="B148" s="36" t="s">
        <v>82</v>
      </c>
      <c r="C148" s="41">
        <f>11504000/1000000</f>
        <v>11.504</v>
      </c>
      <c r="D148" s="41">
        <v>44.996000000000002</v>
      </c>
      <c r="E148" s="49">
        <v>0</v>
      </c>
      <c r="F148" s="43">
        <v>7.5</v>
      </c>
      <c r="G148" s="13">
        <f>SUM(C148:F148)</f>
        <v>64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66">
        <v>2</v>
      </c>
      <c r="E151" s="77">
        <v>6</v>
      </c>
      <c r="F151" s="33">
        <v>0</v>
      </c>
      <c r="G151" s="39">
        <f>SUM(C151:F151)</f>
        <v>8</v>
      </c>
      <c r="H151" s="26"/>
    </row>
    <row r="152" spans="1:8" x14ac:dyDescent="0.25">
      <c r="B152" s="36" t="s">
        <v>85</v>
      </c>
      <c r="C152" s="36">
        <v>0</v>
      </c>
      <c r="D152" s="66">
        <v>5.5E-2</v>
      </c>
      <c r="E152" s="49">
        <f>140000/1000000</f>
        <v>0.14000000000000001</v>
      </c>
      <c r="F152" s="33">
        <v>0</v>
      </c>
      <c r="G152" s="13">
        <f>SUM(C152:F152)</f>
        <v>0.19500000000000001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73</v>
      </c>
      <c r="E155" s="53">
        <v>0</v>
      </c>
      <c r="F155" s="53">
        <v>0</v>
      </c>
      <c r="G155" s="39">
        <f>SUM(C155:F155)</f>
        <v>73</v>
      </c>
      <c r="H155" s="26"/>
    </row>
    <row r="156" spans="1:8" x14ac:dyDescent="0.25">
      <c r="B156" s="36" t="s">
        <v>88</v>
      </c>
      <c r="C156" s="13">
        <v>0</v>
      </c>
      <c r="D156" s="41">
        <v>0.95</v>
      </c>
      <c r="E156" s="49">
        <v>0</v>
      </c>
      <c r="F156" s="53">
        <v>0</v>
      </c>
      <c r="G156" s="13">
        <f>SUM(C156:F156)</f>
        <v>0.95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2">
        <f>C155+C151+C147</f>
        <v>561</v>
      </c>
      <c r="D159" s="22">
        <f>D147+D151+D155</f>
        <v>2330</v>
      </c>
      <c r="E159" s="22">
        <f>+E155+E151+E147</f>
        <v>6</v>
      </c>
      <c r="F159" s="22">
        <f>+F147+F155</f>
        <v>546</v>
      </c>
      <c r="G159" s="22">
        <f>SUM(C159:F159)</f>
        <v>3443</v>
      </c>
    </row>
    <row r="160" spans="1:8" x14ac:dyDescent="0.25">
      <c r="B160" s="21" t="s">
        <v>91</v>
      </c>
      <c r="C160" s="22">
        <f>C156+C152+C148</f>
        <v>11.504</v>
      </c>
      <c r="D160" s="22">
        <f>D148+D152+D156</f>
        <v>46.001000000000005</v>
      </c>
      <c r="E160" s="22">
        <f>+E156+E152+E148</f>
        <v>0.14000000000000001</v>
      </c>
      <c r="F160" s="72">
        <f>+F148+F156</f>
        <v>7.5</v>
      </c>
      <c r="G160" s="25">
        <f>SUM(C160:F160)</f>
        <v>65.14500000000001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41">
        <v>3914</v>
      </c>
      <c r="D163" s="41">
        <v>44461</v>
      </c>
      <c r="E163" s="77">
        <v>4825</v>
      </c>
      <c r="F163" s="41">
        <v>18240</v>
      </c>
      <c r="G163" s="39">
        <f>SUM(C163:F163)</f>
        <v>71440</v>
      </c>
    </row>
    <row r="164" spans="1:8" x14ac:dyDescent="0.25">
      <c r="B164" s="17" t="s">
        <v>88</v>
      </c>
      <c r="C164" s="34">
        <f>91461762/1000000</f>
        <v>91.461761999999993</v>
      </c>
      <c r="D164" s="41">
        <v>204.99848600000007</v>
      </c>
      <c r="E164" s="49">
        <f>50711411/1000000</f>
        <v>50.711410999999998</v>
      </c>
      <c r="F164" s="71">
        <v>121</v>
      </c>
      <c r="G164" s="13">
        <f>SUM(C164:F164)</f>
        <v>468.17165900000009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50"/>
      <c r="G167" s="151"/>
    </row>
    <row r="168" spans="1:8" x14ac:dyDescent="0.25">
      <c r="B168" s="36" t="s">
        <v>95</v>
      </c>
      <c r="C168" s="58">
        <v>421</v>
      </c>
      <c r="D168" s="41">
        <v>3983</v>
      </c>
      <c r="E168" s="77">
        <v>157</v>
      </c>
      <c r="F168" s="1">
        <v>684</v>
      </c>
      <c r="G168" s="39">
        <f>SUM(C168:F168)</f>
        <v>5245</v>
      </c>
    </row>
    <row r="169" spans="1:8" x14ac:dyDescent="0.25">
      <c r="B169" s="36" t="s">
        <v>96</v>
      </c>
      <c r="C169" s="58">
        <f>10525000/1000000</f>
        <v>10.525</v>
      </c>
      <c r="D169" s="41">
        <v>50.987173999999996</v>
      </c>
      <c r="E169" s="49">
        <f>3140000/1000000</f>
        <v>3.14</v>
      </c>
      <c r="F169" s="71">
        <v>23</v>
      </c>
      <c r="G169" s="13">
        <f>SUM(C169:F169)</f>
        <v>87.652173999999988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50"/>
      <c r="G171" s="151"/>
    </row>
    <row r="172" spans="1:8" x14ac:dyDescent="0.25">
      <c r="B172" s="36" t="s">
        <v>98</v>
      </c>
      <c r="C172" s="58">
        <v>1651</v>
      </c>
      <c r="D172" s="41">
        <v>778</v>
      </c>
      <c r="E172" s="77">
        <v>258</v>
      </c>
      <c r="F172" s="1">
        <v>610</v>
      </c>
      <c r="G172" s="39">
        <f>SUM(C172:F172)</f>
        <v>3297</v>
      </c>
    </row>
    <row r="173" spans="1:8" x14ac:dyDescent="0.25">
      <c r="B173" s="36" t="s">
        <v>96</v>
      </c>
      <c r="C173" s="58">
        <f>36322000/1000000</f>
        <v>36.322000000000003</v>
      </c>
      <c r="D173" s="41">
        <v>16.311</v>
      </c>
      <c r="E173" s="71">
        <f>6450000/1000000</f>
        <v>6.45</v>
      </c>
      <c r="F173" s="71">
        <v>13</v>
      </c>
      <c r="G173" s="13">
        <f>SUM(C173:F173)</f>
        <v>72.082999999999998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49" t="s">
        <v>99</v>
      </c>
      <c r="C175" s="150"/>
      <c r="D175" s="150"/>
      <c r="E175" s="150"/>
      <c r="F175" s="166"/>
      <c r="G175" s="151"/>
    </row>
    <row r="176" spans="1:8" x14ac:dyDescent="0.25">
      <c r="B176" s="36" t="s">
        <v>98</v>
      </c>
      <c r="C176" s="68">
        <v>164</v>
      </c>
      <c r="D176" s="41">
        <v>244</v>
      </c>
      <c r="E176" s="78">
        <v>181</v>
      </c>
      <c r="F176" s="75">
        <v>29</v>
      </c>
      <c r="G176" s="79">
        <f>SUM(C176:F176)</f>
        <v>618</v>
      </c>
    </row>
    <row r="177" spans="1:8" x14ac:dyDescent="0.25">
      <c r="B177" s="36" t="s">
        <v>96</v>
      </c>
      <c r="C177" s="56">
        <f>11480000/1000000</f>
        <v>11.48</v>
      </c>
      <c r="D177" s="41">
        <v>19.87</v>
      </c>
      <c r="E177" s="78">
        <f>9973348/1000000</f>
        <v>9.9733479999999997</v>
      </c>
      <c r="F177" s="75">
        <v>3</v>
      </c>
      <c r="G177" s="80">
        <f>SUM(C177:F177)</f>
        <v>44.323348000000003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68">
        <v>453</v>
      </c>
      <c r="D180" s="41">
        <v>23</v>
      </c>
      <c r="E180" s="28">
        <v>0</v>
      </c>
      <c r="F180" s="41">
        <v>0</v>
      </c>
      <c r="G180" s="39">
        <f>SUM(C180:F180)</f>
        <v>476</v>
      </c>
    </row>
    <row r="181" spans="1:8" x14ac:dyDescent="0.25">
      <c r="B181" s="36" t="s">
        <v>96</v>
      </c>
      <c r="C181" s="68">
        <f>13905000/1000000</f>
        <v>13.904999999999999</v>
      </c>
      <c r="D181" s="41">
        <v>20.021901</v>
      </c>
      <c r="E181" s="28">
        <v>0</v>
      </c>
      <c r="F181" s="13">
        <v>0</v>
      </c>
      <c r="G181" s="13">
        <f>SUM(C181:F181)</f>
        <v>33.926901000000001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69">
        <v>2689</v>
      </c>
      <c r="D184" s="22">
        <f>D168+D172+D176+D180</f>
        <v>5028</v>
      </c>
      <c r="E184" s="22">
        <f t="shared" ref="E184:E185" si="4">+E180+E176+E172+E168</f>
        <v>596</v>
      </c>
      <c r="F184" s="22">
        <f>+F168+F172+F176+F180</f>
        <v>1323</v>
      </c>
      <c r="G184" s="22">
        <f>SUM(C184:F184)</f>
        <v>9636</v>
      </c>
    </row>
    <row r="185" spans="1:8" x14ac:dyDescent="0.25">
      <c r="B185" s="21" t="s">
        <v>103</v>
      </c>
      <c r="C185" s="69">
        <f>72232000/1000000</f>
        <v>72.231999999999999</v>
      </c>
      <c r="D185" s="22">
        <f>D169+D173+D177+D181</f>
        <v>107.19007499999999</v>
      </c>
      <c r="E185" s="22">
        <f t="shared" si="4"/>
        <v>19.563348000000001</v>
      </c>
      <c r="F185" s="22">
        <f>+F169+F173+F177+F181</f>
        <v>39</v>
      </c>
      <c r="G185" s="25">
        <f>SUM(C185:F185)</f>
        <v>237.985423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36">
        <v>880</v>
      </c>
      <c r="D188" s="41">
        <v>2949</v>
      </c>
      <c r="E188" s="41">
        <v>48</v>
      </c>
      <c r="F188" s="41">
        <f>F167+F172+F176+F180+F163</f>
        <v>18879</v>
      </c>
      <c r="G188" s="39">
        <f>SUM(C188:F188)</f>
        <v>22756</v>
      </c>
    </row>
    <row r="189" spans="1:8" x14ac:dyDescent="0.25">
      <c r="B189" s="17" t="s">
        <v>106</v>
      </c>
      <c r="C189" s="41">
        <f>10093921/1000000</f>
        <v>10.093921</v>
      </c>
      <c r="D189" s="41">
        <v>94.506557000000001</v>
      </c>
      <c r="E189" s="41">
        <f>2000000/1000000</f>
        <v>2</v>
      </c>
      <c r="F189" s="41">
        <f>F168+F173+F177+F181+F164</f>
        <v>821</v>
      </c>
      <c r="G189" s="13">
        <f>SUM(C189:F189)</f>
        <v>927.60047799999995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8044</v>
      </c>
      <c r="D192" s="22">
        <f>+D188+D184+D163+D159</f>
        <v>54768</v>
      </c>
      <c r="E192" s="22">
        <f t="shared" ref="E192:E193" si="5">+E188+E184+E163+E159</f>
        <v>5475</v>
      </c>
      <c r="F192" s="22">
        <f>F159+F163+F184+F188</f>
        <v>38988</v>
      </c>
      <c r="G192" s="22">
        <f>SUM(C192:F192)</f>
        <v>107275</v>
      </c>
    </row>
    <row r="193" spans="2:7" x14ac:dyDescent="0.25">
      <c r="B193" s="21" t="s">
        <v>109</v>
      </c>
      <c r="C193" s="22">
        <f>185291683/1000000</f>
        <v>185.29168300000001</v>
      </c>
      <c r="D193" s="22">
        <f>+D189+D185+D164+D160</f>
        <v>452.69611800000007</v>
      </c>
      <c r="E193" s="22">
        <f t="shared" si="5"/>
        <v>72.414759000000004</v>
      </c>
      <c r="F193" s="22">
        <f>F160+F185+F164+F189</f>
        <v>988.5</v>
      </c>
      <c r="G193" s="25">
        <f>SUM(C193:F193)</f>
        <v>1698.90256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1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2:G52"/>
    <mergeCell ref="B32:G32"/>
    <mergeCell ref="B36:H36"/>
    <mergeCell ref="B37:G37"/>
    <mergeCell ref="B38:G38"/>
    <mergeCell ref="B41:H41"/>
    <mergeCell ref="B42:G42"/>
    <mergeCell ref="B45:H45"/>
    <mergeCell ref="B46:G46"/>
    <mergeCell ref="B49:H49"/>
    <mergeCell ref="B50:G50"/>
    <mergeCell ref="B51:H51"/>
    <mergeCell ref="B104:G104"/>
    <mergeCell ref="B53:G53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132:G132"/>
    <mergeCell ref="B105:G105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50:G150"/>
    <mergeCell ref="B134:H134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74:H174"/>
    <mergeCell ref="B153:H153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87:G187"/>
    <mergeCell ref="B190:H190"/>
    <mergeCell ref="B191:G191"/>
    <mergeCell ref="B175:G175"/>
    <mergeCell ref="B178:H178"/>
    <mergeCell ref="B179:G179"/>
    <mergeCell ref="B182:H182"/>
    <mergeCell ref="B183:G183"/>
    <mergeCell ref="B186:H186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A2BE-68BF-4E51-8E1E-ED325B281F72}">
  <dimension ref="A1:BD197"/>
  <sheetViews>
    <sheetView topLeftCell="B1" zoomScaleNormal="100" workbookViewId="0">
      <selection activeCell="C124" sqref="C124"/>
    </sheetView>
  </sheetViews>
  <sheetFormatPr baseColWidth="10" defaultColWidth="9.140625" defaultRowHeight="15" x14ac:dyDescent="0.25"/>
  <cols>
    <col min="1" max="1" width="11.425781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111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36">
        <v>56761</v>
      </c>
      <c r="D6" s="41">
        <v>8446</v>
      </c>
      <c r="E6" s="20">
        <v>9899</v>
      </c>
      <c r="F6" s="15">
        <v>10934</v>
      </c>
      <c r="G6" s="15">
        <f>+F6+E6+D6+C6</f>
        <v>86040</v>
      </c>
    </row>
    <row r="7" spans="1:7" x14ac:dyDescent="0.25">
      <c r="B7" s="36" t="s">
        <v>10</v>
      </c>
      <c r="C7" s="67">
        <v>522</v>
      </c>
      <c r="D7" s="41">
        <v>226</v>
      </c>
      <c r="E7" s="20">
        <v>11</v>
      </c>
      <c r="F7" s="15">
        <v>128</v>
      </c>
      <c r="G7" s="15">
        <f>+F7+E7+D7+C7</f>
        <v>887</v>
      </c>
    </row>
    <row r="8" spans="1:7" x14ac:dyDescent="0.25">
      <c r="B8" s="21" t="s">
        <v>11</v>
      </c>
      <c r="C8" s="30">
        <f>SUM(C6:C7)</f>
        <v>57283</v>
      </c>
      <c r="D8" s="30">
        <f>+D6+D7</f>
        <v>8672</v>
      </c>
      <c r="E8" s="30">
        <f>SUM(E6:E7)</f>
        <v>9910</v>
      </c>
      <c r="F8" s="30">
        <f>SUM(F6:F7)</f>
        <v>11062</v>
      </c>
      <c r="G8" s="30">
        <f>+F8+E8+D8+C8</f>
        <v>86927</v>
      </c>
    </row>
    <row r="9" spans="1:7" x14ac:dyDescent="0.25">
      <c r="B9" s="139"/>
      <c r="C9" s="139"/>
      <c r="D9" s="139"/>
      <c r="E9" s="139"/>
      <c r="F9" s="139"/>
      <c r="G9" s="13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986033</v>
      </c>
      <c r="D12" s="41">
        <v>151529</v>
      </c>
      <c r="E12" s="81">
        <v>57815</v>
      </c>
      <c r="F12" s="20">
        <v>0</v>
      </c>
      <c r="G12" s="20">
        <f>SUM(C12:F12)</f>
        <v>1195377</v>
      </c>
    </row>
    <row r="13" spans="1:7" x14ac:dyDescent="0.25">
      <c r="B13" s="19" t="s">
        <v>15</v>
      </c>
      <c r="C13" s="15">
        <v>2315144</v>
      </c>
      <c r="D13" s="41">
        <v>517157</v>
      </c>
      <c r="E13" s="81">
        <v>230569</v>
      </c>
      <c r="F13" s="20">
        <v>0</v>
      </c>
      <c r="G13" s="20">
        <f>SUM(C13:F13)</f>
        <v>3062870</v>
      </c>
    </row>
    <row r="14" spans="1:7" x14ac:dyDescent="0.25">
      <c r="B14" s="21" t="s">
        <v>16</v>
      </c>
      <c r="C14" s="22">
        <f>SUM(C12:C13)</f>
        <v>3301177</v>
      </c>
      <c r="D14" s="22">
        <v>934516</v>
      </c>
      <c r="E14" s="22">
        <v>288384</v>
      </c>
      <c r="F14" s="22">
        <v>383481</v>
      </c>
      <c r="G14" s="22">
        <f>SUM(C14:F14)</f>
        <v>4907558</v>
      </c>
    </row>
    <row r="15" spans="1:7" x14ac:dyDescent="0.25">
      <c r="B15" s="21" t="s">
        <v>17</v>
      </c>
      <c r="C15" s="69">
        <v>409131</v>
      </c>
      <c r="D15" s="22">
        <v>135971</v>
      </c>
      <c r="E15" s="22">
        <v>2781</v>
      </c>
      <c r="F15" s="22">
        <v>83223</v>
      </c>
      <c r="G15" s="22">
        <f>SUM(C15:F15)</f>
        <v>631106</v>
      </c>
    </row>
    <row r="16" spans="1:7" x14ac:dyDescent="0.25">
      <c r="B16" s="21" t="s">
        <v>18</v>
      </c>
      <c r="C16" s="85">
        <f>C15+C14</f>
        <v>3710308</v>
      </c>
      <c r="D16" s="22">
        <f>+D14+D15</f>
        <v>1070487</v>
      </c>
      <c r="E16" s="22">
        <f>SUM(E14:E15)</f>
        <v>291165</v>
      </c>
      <c r="F16" s="22">
        <f>SUM(F12:F15)</f>
        <v>466704</v>
      </c>
      <c r="G16" s="22">
        <f>SUM(C16:F16)</f>
        <v>5538664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41">
        <v>3888</v>
      </c>
      <c r="D19" s="41">
        <v>2603</v>
      </c>
      <c r="E19" s="28">
        <v>0</v>
      </c>
      <c r="F19" s="28">
        <v>0</v>
      </c>
      <c r="G19" s="76">
        <f>SUM(C19:F19)</f>
        <v>6491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69">
        <v>3714196</v>
      </c>
      <c r="D21" s="22">
        <f>+D19+D16</f>
        <v>1073090</v>
      </c>
      <c r="E21" s="22">
        <f>+E19+E16</f>
        <v>291165</v>
      </c>
      <c r="F21" s="22">
        <f>F16</f>
        <v>466704</v>
      </c>
      <c r="G21" s="22">
        <f>SUM(C21:F21)</f>
        <v>5545155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69">
        <v>420480</v>
      </c>
      <c r="D24" s="22">
        <v>238301</v>
      </c>
      <c r="E24" s="22">
        <v>138944</v>
      </c>
      <c r="F24" s="22">
        <v>660303</v>
      </c>
      <c r="G24" s="22">
        <f>SUM(C24:F24)</f>
        <v>1458028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69">
        <v>4134676</v>
      </c>
      <c r="D27" s="22">
        <f>+D24+D21</f>
        <v>1311391</v>
      </c>
      <c r="E27" s="22">
        <f>+E21+E24</f>
        <v>430109</v>
      </c>
      <c r="F27" s="22">
        <f>+F24+F21</f>
        <v>1127007</v>
      </c>
      <c r="G27" s="22">
        <f>SUM(C27:F27)</f>
        <v>7003183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71" t="s">
        <v>26</v>
      </c>
      <c r="C29" s="172"/>
      <c r="D29" s="172"/>
      <c r="E29" s="172"/>
      <c r="F29" s="172"/>
      <c r="G29" s="173"/>
    </row>
    <row r="30" spans="2:8" x14ac:dyDescent="0.25">
      <c r="B30" s="6" t="s">
        <v>27</v>
      </c>
      <c r="C30" s="88">
        <v>1320432</v>
      </c>
      <c r="D30" s="88">
        <v>236207</v>
      </c>
      <c r="E30" s="92">
        <v>110903</v>
      </c>
      <c r="F30" s="88">
        <v>231765</v>
      </c>
      <c r="G30" s="88">
        <f>SUM(C30:F30)</f>
        <v>1899307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2774805104325</v>
      </c>
      <c r="D33" s="41">
        <v>490983731446</v>
      </c>
      <c r="E33" s="81">
        <v>212249079447</v>
      </c>
      <c r="F33" s="41">
        <v>262467491853</v>
      </c>
      <c r="G33" s="41">
        <f>SUM(C33:F33)</f>
        <v>3740505407071</v>
      </c>
    </row>
    <row r="34" spans="1:9" x14ac:dyDescent="0.25">
      <c r="B34" s="36" t="s">
        <v>30</v>
      </c>
      <c r="C34" s="41">
        <v>123877424896</v>
      </c>
      <c r="D34" s="41">
        <f>207098.9749358*D24</f>
        <v>49351892826.176079</v>
      </c>
      <c r="E34" s="81">
        <v>29204442800</v>
      </c>
      <c r="F34" s="41">
        <v>95220876507</v>
      </c>
      <c r="G34" s="41">
        <f>SUM(C34:F34)</f>
        <v>297654637029.17609</v>
      </c>
    </row>
    <row r="35" spans="1:9" x14ac:dyDescent="0.25">
      <c r="B35" s="21" t="s">
        <v>31</v>
      </c>
      <c r="C35" s="22">
        <f>SUM(C33:C34)</f>
        <v>2898682529221</v>
      </c>
      <c r="D35" s="22">
        <f>+D34+D33</f>
        <v>540335624272.17609</v>
      </c>
      <c r="E35" s="22">
        <f>+E33+E34</f>
        <v>241453522247</v>
      </c>
      <c r="F35" s="22">
        <f>SUM(F33:F34)</f>
        <v>357688368360</v>
      </c>
      <c r="G35" s="22">
        <f>SUM(C35:F35)</f>
        <v>4038160044100.1763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658727</v>
      </c>
      <c r="D39" s="41">
        <v>161065</v>
      </c>
      <c r="E39" s="81">
        <v>63693</v>
      </c>
      <c r="F39" s="41">
        <v>77932</v>
      </c>
      <c r="G39" s="39">
        <f>SUM(C39:F39)</f>
        <v>961417</v>
      </c>
      <c r="H39" s="9"/>
      <c r="I39" s="9"/>
    </row>
    <row r="40" spans="1:9" x14ac:dyDescent="0.25">
      <c r="B40" s="36" t="s">
        <v>35</v>
      </c>
      <c r="C40" s="41">
        <f>2407003120/1000000</f>
        <v>2407.0031199999999</v>
      </c>
      <c r="D40" s="34">
        <v>854.32511799999997</v>
      </c>
      <c r="E40" s="81">
        <v>358</v>
      </c>
      <c r="F40" s="15">
        <v>438.140131</v>
      </c>
      <c r="G40" s="13">
        <f>SUM(C40:F40)</f>
        <v>4057.4683690000002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36" t="s">
        <v>37</v>
      </c>
      <c r="C43" s="41">
        <v>57</v>
      </c>
      <c r="D43" s="41">
        <v>41</v>
      </c>
      <c r="E43" s="81">
        <v>29</v>
      </c>
      <c r="F43" s="41">
        <v>11</v>
      </c>
      <c r="G43" s="39">
        <f>SUM(C43:F43)</f>
        <v>138</v>
      </c>
      <c r="H43" s="9"/>
      <c r="I43" s="9"/>
    </row>
    <row r="44" spans="1:9" x14ac:dyDescent="0.25">
      <c r="B44" s="36" t="s">
        <v>38</v>
      </c>
      <c r="C44" s="40">
        <f>5315129/1000000</f>
        <v>5.3151289999999998</v>
      </c>
      <c r="D44" s="16">
        <v>0.682176</v>
      </c>
      <c r="E44" s="82">
        <v>0.3</v>
      </c>
      <c r="F44" s="71">
        <v>0.121561</v>
      </c>
      <c r="G44" s="13">
        <f>SUM(C44:F44)</f>
        <v>6.4188659999999995</v>
      </c>
      <c r="H44" s="9"/>
      <c r="I44" s="9"/>
    </row>
    <row r="45" spans="1:9" x14ac:dyDescent="0.25">
      <c r="A45" s="4"/>
      <c r="B45" s="139"/>
      <c r="C45" s="139"/>
      <c r="D45" s="139"/>
      <c r="E45" s="139"/>
      <c r="F45" s="139"/>
      <c r="G45" s="139"/>
      <c r="H45" s="139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89609</v>
      </c>
      <c r="D47" s="41">
        <v>45716</v>
      </c>
      <c r="E47" s="83">
        <v>9389</v>
      </c>
      <c r="F47" s="41">
        <v>37389</v>
      </c>
      <c r="G47" s="41">
        <f>SUM(C47:F47)</f>
        <v>182103</v>
      </c>
      <c r="H47" s="9"/>
      <c r="I47" s="9"/>
    </row>
    <row r="48" spans="1:9" x14ac:dyDescent="0.25">
      <c r="B48" s="36" t="s">
        <v>41</v>
      </c>
      <c r="C48" s="41">
        <f>(32571097074+990135563)/1000000</f>
        <v>33561.232637000001</v>
      </c>
      <c r="D48" s="41">
        <v>13708.160502000001</v>
      </c>
      <c r="E48" s="83">
        <f>5630273929/1000000</f>
        <v>5630.273929</v>
      </c>
      <c r="F48" s="15">
        <v>4642.8783960000001</v>
      </c>
      <c r="G48" s="13">
        <f>SUM(C48:F48)</f>
        <v>57542.545464000003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127909</v>
      </c>
      <c r="D54" s="41">
        <v>5330</v>
      </c>
      <c r="E54" s="42">
        <v>2270</v>
      </c>
      <c r="F54" s="41">
        <v>3195</v>
      </c>
      <c r="G54" s="41">
        <f t="shared" ref="G54:G70" si="0">SUM(C54:F54)</f>
        <v>138704</v>
      </c>
    </row>
    <row r="55" spans="1:8" x14ac:dyDescent="0.25">
      <c r="B55" s="36" t="s">
        <v>46</v>
      </c>
      <c r="C55" s="41">
        <v>53833.733035999998</v>
      </c>
      <c r="D55" s="41">
        <v>8715.4128239999991</v>
      </c>
      <c r="E55" s="42">
        <v>4287.960967</v>
      </c>
      <c r="F55" s="42">
        <v>6025</v>
      </c>
      <c r="G55" s="41">
        <f t="shared" si="0"/>
        <v>72862.106826999996</v>
      </c>
    </row>
    <row r="56" spans="1:8" x14ac:dyDescent="0.25">
      <c r="B56" s="36" t="s">
        <v>47</v>
      </c>
      <c r="C56" s="41">
        <v>9.7131241742176098</v>
      </c>
      <c r="D56" s="41">
        <v>38.074668478671207</v>
      </c>
      <c r="E56" s="59">
        <v>29</v>
      </c>
      <c r="F56" s="41">
        <v>31</v>
      </c>
      <c r="G56" s="41">
        <f>AVERAGE(C56:F56)</f>
        <v>26.946948163222203</v>
      </c>
    </row>
    <row r="57" spans="1:8" x14ac:dyDescent="0.25">
      <c r="B57" s="36" t="s">
        <v>48</v>
      </c>
      <c r="C57" s="41">
        <v>1025844</v>
      </c>
      <c r="D57" s="41">
        <v>191278</v>
      </c>
      <c r="E57" s="42">
        <v>62301</v>
      </c>
      <c r="F57" s="71">
        <v>94779</v>
      </c>
      <c r="G57" s="41">
        <f t="shared" si="0"/>
        <v>1374202</v>
      </c>
    </row>
    <row r="58" spans="1:8" x14ac:dyDescent="0.25">
      <c r="B58" s="36" t="s">
        <v>49</v>
      </c>
      <c r="C58" s="41">
        <v>1481390.5013830001</v>
      </c>
      <c r="D58" s="41">
        <v>327452.07399800001</v>
      </c>
      <c r="E58" s="60">
        <v>98020.047128000006</v>
      </c>
      <c r="F58" s="71">
        <v>168358</v>
      </c>
      <c r="G58" s="13">
        <f t="shared" si="0"/>
        <v>2075220.6225090001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5301</v>
      </c>
      <c r="D66" s="41">
        <v>3870</v>
      </c>
      <c r="E66" s="42">
        <v>2168</v>
      </c>
      <c r="F66" s="42">
        <v>10376</v>
      </c>
      <c r="G66" s="39">
        <f t="shared" si="0"/>
        <v>21715</v>
      </c>
    </row>
    <row r="67" spans="1:8" x14ac:dyDescent="0.25">
      <c r="B67" s="36" t="s">
        <v>46</v>
      </c>
      <c r="C67" s="41">
        <v>2811.516353</v>
      </c>
      <c r="D67" s="41">
        <v>4628.1459999999997</v>
      </c>
      <c r="E67" s="42">
        <v>2600.4926639999999</v>
      </c>
      <c r="F67" s="42">
        <v>9654</v>
      </c>
      <c r="G67" s="39">
        <f t="shared" si="0"/>
        <v>19694.155016999997</v>
      </c>
    </row>
    <row r="68" spans="1:8" x14ac:dyDescent="0.25">
      <c r="B68" s="36" t="s">
        <v>47</v>
      </c>
      <c r="C68" s="41">
        <v>34.116204489718903</v>
      </c>
      <c r="D68" s="41">
        <v>54.602344417577207</v>
      </c>
      <c r="E68" s="42">
        <v>39</v>
      </c>
      <c r="F68" s="41">
        <v>41</v>
      </c>
      <c r="G68" s="39">
        <f>AVERAGE(C68:F68)</f>
        <v>42.179637226824028</v>
      </c>
    </row>
    <row r="69" spans="1:8" x14ac:dyDescent="0.25">
      <c r="B69" s="36" t="s">
        <v>48</v>
      </c>
      <c r="C69" s="41">
        <v>138797</v>
      </c>
      <c r="D69" s="41">
        <v>103363</v>
      </c>
      <c r="E69" s="42">
        <v>61169</v>
      </c>
      <c r="F69" s="15">
        <v>287520</v>
      </c>
      <c r="G69" s="39">
        <f t="shared" si="0"/>
        <v>590849</v>
      </c>
    </row>
    <row r="70" spans="1:8" x14ac:dyDescent="0.25">
      <c r="B70" s="36" t="s">
        <v>49</v>
      </c>
      <c r="C70" s="41">
        <v>100901.29518</v>
      </c>
      <c r="D70" s="41">
        <v>84055.530798000007</v>
      </c>
      <c r="E70" s="42">
        <v>46092.543900999997</v>
      </c>
      <c r="F70" s="9">
        <v>183610</v>
      </c>
      <c r="G70" s="40">
        <f t="shared" si="0"/>
        <v>414659.36987900001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133210</v>
      </c>
      <c r="D72" s="22">
        <f>+D66+D60+D54</f>
        <v>9200</v>
      </c>
      <c r="E72" s="22">
        <f t="shared" ref="E72:E73" si="1">+E66+E60+E54</f>
        <v>4438</v>
      </c>
      <c r="F72" s="22">
        <f>+F54+F66</f>
        <v>13571</v>
      </c>
      <c r="G72" s="22">
        <f>SUM(C72:F72)</f>
        <v>160419</v>
      </c>
    </row>
    <row r="73" spans="1:8" x14ac:dyDescent="0.25">
      <c r="B73" s="21" t="s">
        <v>46</v>
      </c>
      <c r="C73" s="22">
        <v>56645.249388999997</v>
      </c>
      <c r="D73" s="22">
        <f t="shared" ref="D73:D75" si="2">+D67+D61+D55</f>
        <v>13343.558824</v>
      </c>
      <c r="E73" s="22">
        <f t="shared" si="1"/>
        <v>6888.4536310000003</v>
      </c>
      <c r="F73" s="72">
        <f>+F55+F67</f>
        <v>15679</v>
      </c>
      <c r="G73" s="25">
        <f>SUM(C73:F73)</f>
        <v>92556.261843999993</v>
      </c>
    </row>
    <row r="74" spans="1:8" x14ac:dyDescent="0.25">
      <c r="B74" s="21" t="s">
        <v>47</v>
      </c>
      <c r="C74" s="22">
        <v>10.6842279108175</v>
      </c>
      <c r="D74" s="22">
        <f>(+D56+D62+D68)/3</f>
        <v>30.892337632082803</v>
      </c>
      <c r="E74" s="22">
        <v>34</v>
      </c>
      <c r="F74" s="22">
        <f>(F56+F68)/2</f>
        <v>36</v>
      </c>
      <c r="G74" s="22">
        <f>AVERAGE(C74:F74)</f>
        <v>27.894141385725078</v>
      </c>
    </row>
    <row r="75" spans="1:8" x14ac:dyDescent="0.25">
      <c r="B75" s="21" t="s">
        <v>48</v>
      </c>
      <c r="C75" s="22">
        <v>1164642</v>
      </c>
      <c r="D75" s="22">
        <f t="shared" si="2"/>
        <v>294641</v>
      </c>
      <c r="E75" s="22">
        <f t="shared" ref="E75:E76" si="3">+E69+E63+E57</f>
        <v>123470</v>
      </c>
      <c r="F75" s="22">
        <f>+F57+F69</f>
        <v>382299</v>
      </c>
      <c r="G75" s="22">
        <f>SUM(C75:F75)</f>
        <v>1965052</v>
      </c>
    </row>
    <row r="76" spans="1:8" x14ac:dyDescent="0.25">
      <c r="B76" s="21" t="s">
        <v>49</v>
      </c>
      <c r="C76" s="22">
        <v>1582291.8244380001</v>
      </c>
      <c r="D76" s="22">
        <f>+D70+D64+D58</f>
        <v>411507.604796</v>
      </c>
      <c r="E76" s="22">
        <f t="shared" si="3"/>
        <v>144112.591029</v>
      </c>
      <c r="F76" s="72">
        <f>+F58+F70</f>
        <v>351968</v>
      </c>
      <c r="G76" s="25">
        <f>SUM(C76:F76)</f>
        <v>2489880.0202630004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B80" s="36" t="s">
        <v>45</v>
      </c>
      <c r="C80" s="23">
        <v>0</v>
      </c>
      <c r="D80" s="36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29">
        <v>0</v>
      </c>
      <c r="D81" s="36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29">
        <v>0</v>
      </c>
      <c r="D82" s="36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41">
        <v>1126</v>
      </c>
      <c r="D83" s="36">
        <v>140</v>
      </c>
      <c r="E83" s="51">
        <v>7</v>
      </c>
      <c r="F83" s="29">
        <v>120</v>
      </c>
      <c r="G83" s="29">
        <f>SUM(C83:F83)</f>
        <v>1393</v>
      </c>
    </row>
    <row r="84" spans="2:7" x14ac:dyDescent="0.25">
      <c r="B84" s="36" t="s">
        <v>49</v>
      </c>
      <c r="C84" s="41">
        <v>22314.568480000002</v>
      </c>
      <c r="D84" s="41">
        <v>1621</v>
      </c>
      <c r="E84" s="51">
        <v>87</v>
      </c>
      <c r="F84" s="41">
        <v>2088.6608460000002</v>
      </c>
      <c r="G84" s="13">
        <f>SUM(C84:F84)</f>
        <v>26111.229326000001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86">
        <v>13</v>
      </c>
      <c r="D95" s="64">
        <v>0</v>
      </c>
      <c r="E95" s="23">
        <v>0</v>
      </c>
      <c r="F95" s="29">
        <v>9</v>
      </c>
      <c r="G95" s="39">
        <f>SUM(C95:F95)</f>
        <v>22</v>
      </c>
    </row>
    <row r="96" spans="2:7" x14ac:dyDescent="0.25">
      <c r="B96" s="36" t="s">
        <v>49</v>
      </c>
      <c r="C96" s="41">
        <v>195.33671899999999</v>
      </c>
      <c r="D96" s="64">
        <v>0</v>
      </c>
      <c r="E96" s="23">
        <v>0</v>
      </c>
      <c r="F96" s="29">
        <v>120.680795</v>
      </c>
      <c r="G96" s="13">
        <f>SUM(C96:F96)</f>
        <v>316.01751400000001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2">
        <v>0</v>
      </c>
      <c r="D98" s="22">
        <v>0</v>
      </c>
      <c r="E98" s="22">
        <v>0</v>
      </c>
      <c r="F98" s="24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22">
        <v>0</v>
      </c>
      <c r="E99" s="22">
        <v>0</v>
      </c>
      <c r="F99" s="24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22">
        <v>0</v>
      </c>
      <c r="E100" s="22">
        <v>0</v>
      </c>
      <c r="F100" s="24">
        <v>0</v>
      </c>
      <c r="G100" s="22">
        <f>AVERAGE(C100:F100)</f>
        <v>0</v>
      </c>
    </row>
    <row r="101" spans="1:8" x14ac:dyDescent="0.25">
      <c r="B101" s="21" t="s">
        <v>48</v>
      </c>
      <c r="C101" s="22">
        <v>1139</v>
      </c>
      <c r="D101" s="22">
        <f t="shared" ref="D101:D102" si="4">+D95+D89+D83</f>
        <v>140</v>
      </c>
      <c r="E101" s="32">
        <v>7</v>
      </c>
      <c r="F101" s="32">
        <v>0</v>
      </c>
      <c r="G101" s="22">
        <f>SUM(C101:F101)</f>
        <v>1286</v>
      </c>
    </row>
    <row r="102" spans="1:8" x14ac:dyDescent="0.25">
      <c r="B102" s="21" t="s">
        <v>49</v>
      </c>
      <c r="C102" s="22">
        <v>22509.905199000001</v>
      </c>
      <c r="D102" s="22">
        <f t="shared" si="4"/>
        <v>1621</v>
      </c>
      <c r="E102" s="32">
        <v>87</v>
      </c>
      <c r="F102" s="25">
        <v>0</v>
      </c>
      <c r="G102" s="25">
        <f>SUM(C102:F102)</f>
        <v>24217.905199000001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6">
        <v>1.77</v>
      </c>
      <c r="D106" s="16">
        <v>2.6802053915276094</v>
      </c>
      <c r="E106" s="45">
        <v>2.48</v>
      </c>
      <c r="F106" s="45">
        <v>2.11</v>
      </c>
      <c r="G106" s="74">
        <f>AVERAGE(C106:F106)</f>
        <v>2.2600513478819022</v>
      </c>
    </row>
    <row r="107" spans="1:8" x14ac:dyDescent="0.25">
      <c r="B107" s="36" t="s">
        <v>58</v>
      </c>
      <c r="C107" s="16">
        <v>1.79</v>
      </c>
      <c r="D107" s="16">
        <v>2.4919021739130334</v>
      </c>
      <c r="E107" s="48">
        <v>2.42</v>
      </c>
      <c r="F107" s="45">
        <v>2.13</v>
      </c>
      <c r="G107" s="74">
        <f>AVERAGE(C107:F107)</f>
        <v>2.2079755434782582</v>
      </c>
    </row>
    <row r="108" spans="1:8" x14ac:dyDescent="0.25">
      <c r="B108" s="36" t="s">
        <v>59</v>
      </c>
      <c r="C108" s="16">
        <v>1.6</v>
      </c>
      <c r="D108" s="16">
        <v>2.3439230769230757</v>
      </c>
      <c r="E108" s="45">
        <v>2.2599999999999998</v>
      </c>
      <c r="F108" s="45">
        <v>2.09</v>
      </c>
      <c r="G108" s="74">
        <f>AVERAGE(C108:F108)</f>
        <v>2.0734807692307688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1.18</v>
      </c>
      <c r="D110" s="16">
        <v>1.7214285714285715</v>
      </c>
      <c r="E110" s="45">
        <v>1.53</v>
      </c>
      <c r="F110" s="45">
        <v>1.45</v>
      </c>
      <c r="G110" s="74">
        <f>AVERAGE(C110:F110)</f>
        <v>1.4703571428571429</v>
      </c>
    </row>
    <row r="111" spans="1:8" x14ac:dyDescent="0.25">
      <c r="B111" s="36" t="s">
        <v>58</v>
      </c>
      <c r="C111" s="16">
        <v>1.42</v>
      </c>
      <c r="D111" s="16">
        <v>1.7350000000000003</v>
      </c>
      <c r="E111" s="45">
        <v>1.64</v>
      </c>
      <c r="F111" s="45">
        <v>1.45</v>
      </c>
      <c r="G111" s="74">
        <f>AVERAGE(C111:F111)</f>
        <v>1.56125</v>
      </c>
    </row>
    <row r="112" spans="1:8" x14ac:dyDescent="0.25">
      <c r="B112" s="36" t="s">
        <v>59</v>
      </c>
      <c r="C112" s="16">
        <v>1.0900000000000001</v>
      </c>
      <c r="D112" s="16">
        <v>1.7294152046783626</v>
      </c>
      <c r="E112" s="45">
        <v>1.66</v>
      </c>
      <c r="F112" s="45">
        <v>1.51</v>
      </c>
      <c r="G112" s="74">
        <f>AVERAGE(C112:F112)</f>
        <v>1.4973538011695906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1.38</v>
      </c>
      <c r="D115" s="16">
        <v>1.7309756097560982</v>
      </c>
      <c r="E115" s="48">
        <v>1.46</v>
      </c>
      <c r="F115" s="48">
        <v>1.31</v>
      </c>
      <c r="G115" s="74">
        <f>AVERAGE(C115:F115)</f>
        <v>1.4702439024390244</v>
      </c>
    </row>
    <row r="116" spans="1:9" x14ac:dyDescent="0.25">
      <c r="B116" s="36" t="s">
        <v>58</v>
      </c>
      <c r="C116" s="16">
        <v>1.39</v>
      </c>
      <c r="D116" s="16">
        <v>1.730336134453788</v>
      </c>
      <c r="E116" s="48">
        <v>1.53</v>
      </c>
      <c r="F116" s="48">
        <v>1.43</v>
      </c>
      <c r="G116" s="74">
        <f>AVERAGE(C116:F116)</f>
        <v>1.5200840336134469</v>
      </c>
    </row>
    <row r="117" spans="1:9" x14ac:dyDescent="0.25">
      <c r="B117" s="36" t="s">
        <v>59</v>
      </c>
      <c r="C117" s="16">
        <v>1.36</v>
      </c>
      <c r="D117" s="16">
        <v>1.7324142011833883</v>
      </c>
      <c r="E117" s="48">
        <v>1.63</v>
      </c>
      <c r="F117" s="48">
        <v>1.58</v>
      </c>
      <c r="G117" s="74">
        <f>AVERAGE(C117:F117)</f>
        <v>1.5756035502958472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16">
        <v>0</v>
      </c>
      <c r="D119" s="16">
        <v>1.1899999999999995</v>
      </c>
      <c r="E119" s="37">
        <v>0</v>
      </c>
      <c r="F119" s="16">
        <v>0.99</v>
      </c>
      <c r="G119" s="74">
        <f>AVERAGE(C119:F119)</f>
        <v>0.54499999999999993</v>
      </c>
      <c r="I119" s="10"/>
    </row>
    <row r="120" spans="1:9" x14ac:dyDescent="0.25">
      <c r="B120" s="36" t="s">
        <v>58</v>
      </c>
      <c r="C120" s="16">
        <v>0</v>
      </c>
      <c r="D120" s="16">
        <v>1.19</v>
      </c>
      <c r="E120" s="37">
        <v>0</v>
      </c>
      <c r="F120" s="16">
        <v>1.1899999999999995</v>
      </c>
      <c r="G120" s="74">
        <f>AVERAGE(C120:F120)</f>
        <v>0.59499999999999986</v>
      </c>
      <c r="I120" s="10"/>
    </row>
    <row r="121" spans="1:9" x14ac:dyDescent="0.25">
      <c r="B121" s="36" t="s">
        <v>59</v>
      </c>
      <c r="C121" s="16">
        <v>0.9900000000000001</v>
      </c>
      <c r="D121" s="16">
        <v>1.1899999999999995</v>
      </c>
      <c r="E121" s="45">
        <v>1.19</v>
      </c>
      <c r="F121" s="16">
        <v>0.99</v>
      </c>
      <c r="G121" s="74">
        <f>AVERAGE(C121:F121)</f>
        <v>1.0899999999999999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16">
        <v>0</v>
      </c>
      <c r="D124" s="31">
        <v>0</v>
      </c>
      <c r="E124" s="23">
        <v>0</v>
      </c>
      <c r="F124" s="23">
        <v>0</v>
      </c>
      <c r="G124" s="40">
        <f>AVERAGE(C124:F124)</f>
        <v>0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6">
        <v>1.78256471771068</v>
      </c>
      <c r="D126" s="65">
        <v>2.0139800318539698</v>
      </c>
      <c r="E126" s="52">
        <v>2.0669680000000001</v>
      </c>
      <c r="F126" s="14">
        <v>0</v>
      </c>
      <c r="G126" s="40">
        <f>AVERAGE(C126:F126)</f>
        <v>1.4658781873911626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53"/>
      <c r="G128" s="153"/>
    </row>
    <row r="129" spans="1:9" x14ac:dyDescent="0.25">
      <c r="B129" s="36" t="s">
        <v>68</v>
      </c>
      <c r="C129" s="41">
        <v>333884</v>
      </c>
      <c r="D129" s="41">
        <v>38467</v>
      </c>
      <c r="E129" s="61">
        <v>8658</v>
      </c>
      <c r="F129" s="63">
        <v>1090</v>
      </c>
      <c r="G129" s="39">
        <f>SUM(C129:F129)</f>
        <v>382099</v>
      </c>
    </row>
    <row r="130" spans="1:9" x14ac:dyDescent="0.25">
      <c r="B130" s="36" t="s">
        <v>69</v>
      </c>
      <c r="C130" s="41">
        <v>167949.410004</v>
      </c>
      <c r="D130" s="41">
        <v>3929.8418780000002</v>
      </c>
      <c r="E130" s="61">
        <v>1147</v>
      </c>
      <c r="F130" s="63">
        <v>1331.6761449999999</v>
      </c>
      <c r="G130" s="13">
        <f>SUM(C130:F130)</f>
        <v>174357.92802700002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41">
        <v>726455</v>
      </c>
      <c r="D133" s="41">
        <v>235403</v>
      </c>
      <c r="E133" s="61">
        <f>34143+111571</f>
        <v>145714</v>
      </c>
      <c r="F133" s="41">
        <v>367457</v>
      </c>
      <c r="G133" s="39">
        <f>SUM(C133:F133)</f>
        <v>1475029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39">
        <v>0</v>
      </c>
      <c r="D137" s="41">
        <v>7522</v>
      </c>
      <c r="E137" s="39">
        <v>0</v>
      </c>
      <c r="F137" s="41">
        <v>15986</v>
      </c>
      <c r="G137" s="41">
        <f>SUM(C137:F137)</f>
        <v>23508</v>
      </c>
      <c r="H137" s="9"/>
      <c r="I137" s="9"/>
    </row>
    <row r="138" spans="1:9" x14ac:dyDescent="0.25">
      <c r="B138" s="36" t="s">
        <v>75</v>
      </c>
      <c r="C138" s="39">
        <v>0</v>
      </c>
      <c r="D138" s="41">
        <v>958</v>
      </c>
      <c r="E138" s="39">
        <v>0</v>
      </c>
      <c r="F138" s="63">
        <v>262</v>
      </c>
      <c r="G138" s="41">
        <f>SUM(C138:F138)</f>
        <v>1220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41">
        <v>1625</v>
      </c>
      <c r="D147" s="41">
        <v>6190</v>
      </c>
      <c r="E147" s="63">
        <v>0</v>
      </c>
      <c r="F147" s="41">
        <v>1641</v>
      </c>
      <c r="G147" s="39">
        <f>SUM(C147:F147)</f>
        <v>9456</v>
      </c>
    </row>
    <row r="148" spans="1:8" x14ac:dyDescent="0.25">
      <c r="B148" s="36" t="s">
        <v>82</v>
      </c>
      <c r="C148" s="41">
        <f>33154000/1000000</f>
        <v>33.154000000000003</v>
      </c>
      <c r="D148" s="41">
        <v>120.33150000000001</v>
      </c>
      <c r="E148" s="49">
        <v>0</v>
      </c>
      <c r="F148" s="43">
        <v>21.003</v>
      </c>
      <c r="G148" s="13">
        <f>SUM(C148:F148)</f>
        <v>174.48849999999999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66">
        <v>0</v>
      </c>
      <c r="E151" s="93">
        <v>1</v>
      </c>
      <c r="F151" s="33">
        <v>0</v>
      </c>
      <c r="G151" s="39">
        <f>SUM(C151:F151)</f>
        <v>1</v>
      </c>
      <c r="H151" s="26"/>
    </row>
    <row r="152" spans="1:8" x14ac:dyDescent="0.25">
      <c r="B152" s="36" t="s">
        <v>85</v>
      </c>
      <c r="C152" s="36">
        <v>0</v>
      </c>
      <c r="D152" s="66">
        <v>0</v>
      </c>
      <c r="E152" s="91">
        <f>45000/1000000</f>
        <v>4.4999999999999998E-2</v>
      </c>
      <c r="F152" s="33">
        <v>0</v>
      </c>
      <c r="G152" s="13">
        <f>SUM(C152:F152)</f>
        <v>4.4999999999999998E-2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115</v>
      </c>
      <c r="E155" s="53">
        <v>0</v>
      </c>
      <c r="F155" s="53">
        <v>0</v>
      </c>
      <c r="G155" s="39">
        <f>SUM(C155:F155)</f>
        <v>115</v>
      </c>
      <c r="H155" s="26"/>
    </row>
    <row r="156" spans="1:8" x14ac:dyDescent="0.25">
      <c r="B156" s="36" t="s">
        <v>88</v>
      </c>
      <c r="C156" s="13">
        <v>0</v>
      </c>
      <c r="D156" s="41">
        <v>1.53</v>
      </c>
      <c r="E156" s="49">
        <v>0</v>
      </c>
      <c r="F156" s="53">
        <v>0</v>
      </c>
      <c r="G156" s="13">
        <f>SUM(C156:F156)</f>
        <v>1.53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2">
        <f>C155+C151+C147</f>
        <v>1625</v>
      </c>
      <c r="D159" s="22">
        <f>D147+D151+D155</f>
        <v>6305</v>
      </c>
      <c r="E159" s="72">
        <f>+E155+E151+E147</f>
        <v>1</v>
      </c>
      <c r="F159" s="22">
        <f>+F147+F155</f>
        <v>1641</v>
      </c>
      <c r="G159" s="22">
        <f>SUM(C159:F159)</f>
        <v>9572</v>
      </c>
    </row>
    <row r="160" spans="1:8" x14ac:dyDescent="0.25">
      <c r="B160" s="21" t="s">
        <v>91</v>
      </c>
      <c r="C160" s="22">
        <f>C156+C152+C148</f>
        <v>33.154000000000003</v>
      </c>
      <c r="D160" s="22">
        <f>D148+D152+D156</f>
        <v>121.86150000000001</v>
      </c>
      <c r="E160" s="72">
        <f>+E156+E152+E148</f>
        <v>4.4999999999999998E-2</v>
      </c>
      <c r="F160" s="72">
        <f>+F148+F156</f>
        <v>21.003</v>
      </c>
      <c r="G160" s="25">
        <f>SUM(C160:F160)</f>
        <v>176.06349999999998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41">
        <v>3074</v>
      </c>
      <c r="D163" s="41">
        <v>29031</v>
      </c>
      <c r="E163" s="41">
        <v>3467</v>
      </c>
      <c r="F163" s="41">
        <v>13468</v>
      </c>
      <c r="G163" s="39">
        <f>SUM(C163:F163)</f>
        <v>49040</v>
      </c>
    </row>
    <row r="164" spans="1:8" x14ac:dyDescent="0.25">
      <c r="B164" s="17" t="s">
        <v>88</v>
      </c>
      <c r="C164" s="41">
        <f>77397053/1000000</f>
        <v>77.397053</v>
      </c>
      <c r="D164" s="41">
        <v>144.75984599999998</v>
      </c>
      <c r="E164" s="41">
        <f>36456148/1000000</f>
        <v>36.456147999999999</v>
      </c>
      <c r="F164" s="41">
        <v>89.681183000000004</v>
      </c>
      <c r="G164" s="13">
        <f>SUM(C164:F164)</f>
        <v>348.29422999999997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50"/>
      <c r="G167" s="151"/>
    </row>
    <row r="168" spans="1:8" x14ac:dyDescent="0.25">
      <c r="B168" s="36" t="s">
        <v>95</v>
      </c>
      <c r="C168" s="58">
        <v>498</v>
      </c>
      <c r="D168" s="41">
        <v>2866</v>
      </c>
      <c r="E168" s="93">
        <v>118</v>
      </c>
      <c r="F168" s="1">
        <v>575</v>
      </c>
      <c r="G168" s="39">
        <f>SUM(C168:F168)</f>
        <v>4057</v>
      </c>
    </row>
    <row r="169" spans="1:8" x14ac:dyDescent="0.25">
      <c r="B169" s="36" t="s">
        <v>96</v>
      </c>
      <c r="C169" s="41">
        <f>12450000/1000000</f>
        <v>12.45</v>
      </c>
      <c r="D169" s="41">
        <v>39.860793999999999</v>
      </c>
      <c r="E169" s="71">
        <f>2360000/1000000</f>
        <v>2.36</v>
      </c>
      <c r="F169" s="71">
        <v>19.629000000000001</v>
      </c>
      <c r="G169" s="13">
        <f>SUM(C169:F169)</f>
        <v>74.299794000000006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50"/>
      <c r="G171" s="151"/>
    </row>
    <row r="172" spans="1:8" x14ac:dyDescent="0.25">
      <c r="B172" s="36" t="s">
        <v>98</v>
      </c>
      <c r="C172" s="58">
        <v>1591</v>
      </c>
      <c r="D172" s="41">
        <v>650</v>
      </c>
      <c r="E172" s="93">
        <v>210</v>
      </c>
      <c r="F172" s="1">
        <v>501</v>
      </c>
      <c r="G172" s="39">
        <f>SUM(C172:F172)</f>
        <v>2952</v>
      </c>
    </row>
    <row r="173" spans="1:8" x14ac:dyDescent="0.25">
      <c r="B173" s="36" t="s">
        <v>96</v>
      </c>
      <c r="C173" s="41">
        <f>35002000/1000000</f>
        <v>35.002000000000002</v>
      </c>
      <c r="D173" s="41">
        <v>13.65</v>
      </c>
      <c r="E173" s="71">
        <f>5250000/1000000</f>
        <v>5.25</v>
      </c>
      <c r="F173" s="71">
        <v>10.962</v>
      </c>
      <c r="G173" s="13">
        <f>SUM(C173:F173)</f>
        <v>64.864000000000004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74" t="s">
        <v>99</v>
      </c>
      <c r="C175" s="175"/>
      <c r="D175" s="175"/>
      <c r="E175" s="175"/>
      <c r="F175" s="175"/>
      <c r="G175" s="176"/>
    </row>
    <row r="176" spans="1:8" x14ac:dyDescent="0.25">
      <c r="B176" s="6" t="s">
        <v>98</v>
      </c>
      <c r="C176" s="87">
        <v>144</v>
      </c>
      <c r="D176" s="88">
        <v>207</v>
      </c>
      <c r="E176" s="94">
        <v>126</v>
      </c>
      <c r="F176" s="1">
        <v>47</v>
      </c>
      <c r="G176" s="89">
        <f>SUM(C176:F176)</f>
        <v>524</v>
      </c>
    </row>
    <row r="177" spans="1:8" x14ac:dyDescent="0.25">
      <c r="B177" s="36" t="s">
        <v>96</v>
      </c>
      <c r="C177" s="41">
        <f>10080000/1000000</f>
        <v>10.08</v>
      </c>
      <c r="D177" s="41">
        <v>16.96</v>
      </c>
      <c r="E177" s="71">
        <f>7178925/1000000</f>
        <v>7.1789249999999996</v>
      </c>
      <c r="F177" s="71">
        <v>4.7699999999999996</v>
      </c>
      <c r="G177" s="90">
        <f>SUM(C177:F177)</f>
        <v>38.988924999999995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68">
        <v>351</v>
      </c>
      <c r="D180" s="41">
        <v>149</v>
      </c>
      <c r="E180" s="28">
        <v>0</v>
      </c>
      <c r="F180" s="41">
        <v>0</v>
      </c>
      <c r="G180" s="39">
        <f>SUM(C180:F180)</f>
        <v>500</v>
      </c>
    </row>
    <row r="181" spans="1:8" x14ac:dyDescent="0.25">
      <c r="B181" s="36" t="s">
        <v>96</v>
      </c>
      <c r="C181" s="41">
        <f>10810000/1000000</f>
        <v>10.81</v>
      </c>
      <c r="D181" s="41">
        <v>38.551828999999998</v>
      </c>
      <c r="E181" s="28">
        <v>0</v>
      </c>
      <c r="F181" s="13">
        <v>0</v>
      </c>
      <c r="G181" s="13">
        <f>SUM(C181:F181)</f>
        <v>49.361829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69">
        <v>2584</v>
      </c>
      <c r="D184" s="22">
        <f>D168+D172+D176+D180</f>
        <v>3872</v>
      </c>
      <c r="E184" s="22">
        <f>+E168+E172+E176+E180</f>
        <v>454</v>
      </c>
      <c r="F184" s="22">
        <f>+F168+F172+F176+F180</f>
        <v>1123</v>
      </c>
      <c r="G184" s="22">
        <f>SUM(C184:F184)</f>
        <v>8033</v>
      </c>
    </row>
    <row r="185" spans="1:8" x14ac:dyDescent="0.25">
      <c r="B185" s="21" t="s">
        <v>103</v>
      </c>
      <c r="C185" s="22">
        <f>68342000/1000000</f>
        <v>68.341999999999999</v>
      </c>
      <c r="D185" s="22">
        <f>D169+D173+D177+D181</f>
        <v>109.022623</v>
      </c>
      <c r="E185" s="22">
        <f>+E169+E173+E177+E181</f>
        <v>14.788924999999999</v>
      </c>
      <c r="F185" s="22">
        <f>+F169+F173+F177+F181</f>
        <v>35.361000000000004</v>
      </c>
      <c r="G185" s="25">
        <f>SUM(C185:F185)</f>
        <v>227.51454799999999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36">
        <v>882</v>
      </c>
      <c r="D188" s="41">
        <v>6680</v>
      </c>
      <c r="E188" s="84">
        <f>E167+E172+E176+E180+E163</f>
        <v>3803</v>
      </c>
      <c r="F188" s="41">
        <f>F167+F172+F176+F180+F163</f>
        <v>14016</v>
      </c>
      <c r="G188" s="39">
        <f>SUM(C188:F188)</f>
        <v>25381</v>
      </c>
    </row>
    <row r="189" spans="1:8" x14ac:dyDescent="0.25">
      <c r="B189" s="17" t="s">
        <v>106</v>
      </c>
      <c r="C189" s="41">
        <f>11345690/1000000</f>
        <v>11.345689999999999</v>
      </c>
      <c r="D189" s="41">
        <v>101.71425700000005</v>
      </c>
      <c r="E189" s="84">
        <f>E168+E173+E177+E181+E164</f>
        <v>166.88507299999998</v>
      </c>
      <c r="F189" s="41">
        <f>F168+F173+F177+F181+F164</f>
        <v>680.413183</v>
      </c>
      <c r="G189" s="13">
        <f>SUM(C189:F189)</f>
        <v>960.358203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8170</v>
      </c>
      <c r="D192" s="22">
        <f>+D188+D184+D163+D159</f>
        <v>45888</v>
      </c>
      <c r="E192" s="22">
        <f t="shared" ref="E192:E193" si="5">+E188+E184+E163+E159</f>
        <v>7725</v>
      </c>
      <c r="F192" s="22">
        <f>F159+F163+F184+F188</f>
        <v>30248</v>
      </c>
      <c r="G192" s="22">
        <f>SUM(C192:F192)</f>
        <v>92031</v>
      </c>
    </row>
    <row r="193" spans="2:7" x14ac:dyDescent="0.25">
      <c r="B193" s="21" t="s">
        <v>109</v>
      </c>
      <c r="C193" s="22">
        <f>191513743/1000000</f>
        <v>191.51374300000001</v>
      </c>
      <c r="D193" s="22">
        <f>+D189+D185+D164+D160</f>
        <v>477.35822600000006</v>
      </c>
      <c r="E193" s="22">
        <f t="shared" si="5"/>
        <v>218.17514599999996</v>
      </c>
      <c r="F193" s="22">
        <f>F160+F185+F164+F189</f>
        <v>826.45836600000007</v>
      </c>
      <c r="G193" s="25">
        <f>SUM(C193:F193)</f>
        <v>1713.5054810000001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1">
    <mergeCell ref="B187:G187"/>
    <mergeCell ref="B190:H190"/>
    <mergeCell ref="B191:G191"/>
    <mergeCell ref="B175:G175"/>
    <mergeCell ref="B178:H178"/>
    <mergeCell ref="B179:G179"/>
    <mergeCell ref="B182:H182"/>
    <mergeCell ref="B183:G183"/>
    <mergeCell ref="B186:H186"/>
    <mergeCell ref="B174:H174"/>
    <mergeCell ref="B153:H153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50:G150"/>
    <mergeCell ref="B134:H134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32:G132"/>
    <mergeCell ref="B105:G105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04:G104"/>
    <mergeCell ref="B53:G53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52:G52"/>
    <mergeCell ref="B32:G32"/>
    <mergeCell ref="B36:H36"/>
    <mergeCell ref="B37:G37"/>
    <mergeCell ref="B38:G38"/>
    <mergeCell ref="B41:H41"/>
    <mergeCell ref="B42:G42"/>
    <mergeCell ref="B45:H45"/>
    <mergeCell ref="B46:G46"/>
    <mergeCell ref="B49:H49"/>
    <mergeCell ref="B50:G50"/>
    <mergeCell ref="B51:H51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B6F3-3D5B-4D98-8CB7-7AE5516FADBE}">
  <dimension ref="A1:BD197"/>
  <sheetViews>
    <sheetView topLeftCell="B65" zoomScaleNormal="100" workbookViewId="0">
      <selection activeCell="C6" sqref="C6:C8"/>
    </sheetView>
  </sheetViews>
  <sheetFormatPr baseColWidth="10" defaultColWidth="9.140625" defaultRowHeight="15" x14ac:dyDescent="0.25"/>
  <cols>
    <col min="1" max="1" width="11.425781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111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41">
        <v>56898</v>
      </c>
      <c r="D6" s="41">
        <v>8440</v>
      </c>
      <c r="E6" s="20">
        <v>9832</v>
      </c>
      <c r="F6" s="15">
        <v>10965</v>
      </c>
      <c r="G6" s="15">
        <f>+F6+E6+D6+C6</f>
        <v>86135</v>
      </c>
    </row>
    <row r="7" spans="1:7" x14ac:dyDescent="0.25">
      <c r="B7" s="36" t="s">
        <v>10</v>
      </c>
      <c r="C7" s="67">
        <v>523</v>
      </c>
      <c r="D7" s="41">
        <v>226</v>
      </c>
      <c r="E7" s="20">
        <v>11</v>
      </c>
      <c r="F7" s="15">
        <v>129</v>
      </c>
      <c r="G7" s="15">
        <f>+F7+E7+D7+C7</f>
        <v>889</v>
      </c>
    </row>
    <row r="8" spans="1:7" x14ac:dyDescent="0.25">
      <c r="B8" s="21" t="s">
        <v>11</v>
      </c>
      <c r="C8" s="30">
        <f>SUM(C6:C7)</f>
        <v>57421</v>
      </c>
      <c r="D8" s="30">
        <f>+D6+D7</f>
        <v>8666</v>
      </c>
      <c r="E8" s="30">
        <f>SUM(E6:E7)</f>
        <v>9843</v>
      </c>
      <c r="F8" s="30">
        <f>SUM(F6:F7)</f>
        <v>11094</v>
      </c>
      <c r="G8" s="30">
        <f>+F8+E8+D8+C8</f>
        <v>87024</v>
      </c>
    </row>
    <row r="9" spans="1:7" x14ac:dyDescent="0.25">
      <c r="B9" s="139"/>
      <c r="C9" s="139"/>
      <c r="D9" s="139"/>
      <c r="E9" s="139"/>
      <c r="F9" s="139"/>
      <c r="G9" s="13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986588</v>
      </c>
      <c r="D12" s="41">
        <v>150878</v>
      </c>
      <c r="E12" s="96">
        <v>57298</v>
      </c>
      <c r="F12" s="20">
        <v>0</v>
      </c>
      <c r="G12" s="20">
        <f>SUM(C12:F12)</f>
        <v>1194764</v>
      </c>
    </row>
    <row r="13" spans="1:7" x14ac:dyDescent="0.25">
      <c r="B13" s="19" t="s">
        <v>15</v>
      </c>
      <c r="C13" s="15">
        <v>2286892</v>
      </c>
      <c r="D13" s="41">
        <v>512511</v>
      </c>
      <c r="E13" s="96">
        <v>227728</v>
      </c>
      <c r="F13" s="20">
        <v>0</v>
      </c>
      <c r="G13" s="20">
        <f>SUM(C13:F13)</f>
        <v>3027131</v>
      </c>
    </row>
    <row r="14" spans="1:7" x14ac:dyDescent="0.25">
      <c r="B14" s="21" t="s">
        <v>16</v>
      </c>
      <c r="C14" s="22">
        <f>SUM(C12:C13)</f>
        <v>3273480</v>
      </c>
      <c r="D14" s="22">
        <v>942369</v>
      </c>
      <c r="E14" s="22">
        <v>285026</v>
      </c>
      <c r="F14" s="22">
        <v>385778</v>
      </c>
      <c r="G14" s="22">
        <f>SUM(C14:F14)</f>
        <v>4886653</v>
      </c>
    </row>
    <row r="15" spans="1:7" x14ac:dyDescent="0.25">
      <c r="B15" s="21" t="s">
        <v>17</v>
      </c>
      <c r="C15" s="69">
        <v>415087</v>
      </c>
      <c r="D15" s="22">
        <v>138185</v>
      </c>
      <c r="E15" s="22">
        <v>2811</v>
      </c>
      <c r="F15" s="22">
        <v>82620</v>
      </c>
      <c r="G15" s="22">
        <f>SUM(C15:F15)</f>
        <v>638703</v>
      </c>
    </row>
    <row r="16" spans="1:7" x14ac:dyDescent="0.25">
      <c r="B16" s="21" t="s">
        <v>18</v>
      </c>
      <c r="C16" s="69">
        <f>C15+C14</f>
        <v>3688567</v>
      </c>
      <c r="D16" s="22">
        <f>+D14+D15</f>
        <v>1080554</v>
      </c>
      <c r="E16" s="22">
        <f>SUM(E14:E15)</f>
        <v>287837</v>
      </c>
      <c r="F16" s="22">
        <f>SUM(F12:F15)</f>
        <v>468398</v>
      </c>
      <c r="G16" s="22">
        <f>SUM(C16:F16)</f>
        <v>5525356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41">
        <v>3887</v>
      </c>
      <c r="D19" s="41">
        <v>2603</v>
      </c>
      <c r="E19" s="28">
        <v>0</v>
      </c>
      <c r="F19" s="28">
        <v>0</v>
      </c>
      <c r="G19" s="76">
        <f>SUM(C19:F19)</f>
        <v>6490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22">
        <v>3692454</v>
      </c>
      <c r="D21" s="22">
        <f>+D19+D16</f>
        <v>1083157</v>
      </c>
      <c r="E21" s="22">
        <f>+E19+E16</f>
        <v>287837</v>
      </c>
      <c r="F21" s="22">
        <f>F16</f>
        <v>468398</v>
      </c>
      <c r="G21" s="22">
        <f>SUM(C21:F21)</f>
        <v>5531846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69">
        <v>420294</v>
      </c>
      <c r="D24" s="69">
        <v>238020</v>
      </c>
      <c r="E24" s="69">
        <v>138710</v>
      </c>
      <c r="F24" s="69">
        <v>662586</v>
      </c>
      <c r="G24" s="69">
        <f>SUM(C24:F24)</f>
        <v>1459610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69">
        <v>4112748</v>
      </c>
      <c r="D27" s="22">
        <f>+D24+D21</f>
        <v>1321177</v>
      </c>
      <c r="E27" s="22">
        <f>+E21+E24</f>
        <v>426547</v>
      </c>
      <c r="F27" s="22">
        <f>+F24+F21</f>
        <v>1130984</v>
      </c>
      <c r="G27" s="22">
        <f>SUM(C27:F27)</f>
        <v>6991456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71" t="s">
        <v>26</v>
      </c>
      <c r="C29" s="172"/>
      <c r="D29" s="172"/>
      <c r="E29" s="172"/>
      <c r="F29" s="172"/>
      <c r="G29" s="173"/>
    </row>
    <row r="30" spans="2:8" x14ac:dyDescent="0.25">
      <c r="B30" s="6" t="s">
        <v>27</v>
      </c>
      <c r="C30" s="61">
        <v>1404020</v>
      </c>
      <c r="D30" s="41">
        <v>238250</v>
      </c>
      <c r="E30" s="61">
        <v>104712</v>
      </c>
      <c r="F30" s="41">
        <v>229006</v>
      </c>
      <c r="G30" s="88">
        <f>SUM(C30:F30)</f>
        <v>1975988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2778919013731</v>
      </c>
      <c r="D33" s="41">
        <v>496302651036</v>
      </c>
      <c r="E33" s="41">
        <v>212393761904</v>
      </c>
      <c r="F33" s="41">
        <v>267578323608</v>
      </c>
      <c r="G33" s="41">
        <f>SUM(C33:F33)</f>
        <v>3755193750279</v>
      </c>
    </row>
    <row r="34" spans="1:9" x14ac:dyDescent="0.25">
      <c r="B34" s="36" t="s">
        <v>30</v>
      </c>
      <c r="C34" s="41">
        <v>124181146695</v>
      </c>
      <c r="D34" s="41">
        <f>210236.8863834*D24</f>
        <v>50040583696.976868</v>
      </c>
      <c r="E34" s="41">
        <v>29450265400</v>
      </c>
      <c r="F34" s="41">
        <v>95061034237</v>
      </c>
      <c r="G34" s="41">
        <f>SUM(C34:F34)</f>
        <v>298733030028.97687</v>
      </c>
    </row>
    <row r="35" spans="1:9" x14ac:dyDescent="0.25">
      <c r="B35" s="21" t="s">
        <v>31</v>
      </c>
      <c r="C35" s="22">
        <f>SUM(C33:C34)</f>
        <v>2903100160426</v>
      </c>
      <c r="D35" s="22">
        <f>+D34+D33</f>
        <v>546343234732.97687</v>
      </c>
      <c r="E35" s="22">
        <f>+E33+E34</f>
        <v>241844027304</v>
      </c>
      <c r="F35" s="22">
        <f>SUM(F33:F34)</f>
        <v>362639357845</v>
      </c>
      <c r="G35" s="22">
        <f>SUM(C35:F35)</f>
        <v>4053926780307.9771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667750</v>
      </c>
      <c r="D39" s="41">
        <v>107211</v>
      </c>
      <c r="E39" s="41">
        <v>60357</v>
      </c>
      <c r="F39" s="41">
        <v>70317</v>
      </c>
      <c r="G39" s="39">
        <f>SUM(C39:F39)</f>
        <v>905635</v>
      </c>
      <c r="H39" s="9"/>
      <c r="I39" s="9"/>
    </row>
    <row r="40" spans="1:9" x14ac:dyDescent="0.25">
      <c r="B40" s="36" t="s">
        <v>35</v>
      </c>
      <c r="C40" s="41">
        <f>2531357668/1000000</f>
        <v>2531.3576680000001</v>
      </c>
      <c r="D40" s="34">
        <v>833.412736</v>
      </c>
      <c r="E40" s="41">
        <v>363</v>
      </c>
      <c r="F40" s="15">
        <v>415.842331</v>
      </c>
      <c r="G40" s="13">
        <f>SUM(C40:F40)</f>
        <v>4143.6127349999997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36" t="s">
        <v>37</v>
      </c>
      <c r="C43" s="41">
        <v>51</v>
      </c>
      <c r="D43" s="41">
        <v>26</v>
      </c>
      <c r="E43" s="81">
        <v>21</v>
      </c>
      <c r="F43" s="41">
        <v>7</v>
      </c>
      <c r="G43" s="39">
        <f>SUM(C43:F43)</f>
        <v>105</v>
      </c>
      <c r="H43" s="9"/>
      <c r="I43" s="9"/>
    </row>
    <row r="44" spans="1:9" x14ac:dyDescent="0.25">
      <c r="B44" s="36" t="s">
        <v>38</v>
      </c>
      <c r="C44" s="41">
        <f>5168234/1000000</f>
        <v>5.168234</v>
      </c>
      <c r="D44" s="97">
        <v>0.320185</v>
      </c>
      <c r="E44" s="97">
        <v>0.2</v>
      </c>
      <c r="F44" s="97">
        <v>0.121561</v>
      </c>
      <c r="G44" s="13">
        <f>SUM(C44:F44)</f>
        <v>5.8099800000000004</v>
      </c>
      <c r="H44" s="9"/>
      <c r="I44" s="9"/>
    </row>
    <row r="45" spans="1:9" x14ac:dyDescent="0.25">
      <c r="A45" s="4"/>
      <c r="B45" s="139"/>
      <c r="C45" s="139"/>
      <c r="D45" s="139"/>
      <c r="E45" s="139"/>
      <c r="F45" s="139"/>
      <c r="G45" s="139"/>
      <c r="H45" s="139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100997</v>
      </c>
      <c r="D47" s="41">
        <v>59381</v>
      </c>
      <c r="E47" s="41">
        <v>8228</v>
      </c>
      <c r="F47" s="41">
        <v>45816</v>
      </c>
      <c r="G47" s="41">
        <f>SUM(C47:F47)</f>
        <v>214422</v>
      </c>
      <c r="H47" s="9"/>
      <c r="I47" s="9"/>
    </row>
    <row r="48" spans="1:9" x14ac:dyDescent="0.25">
      <c r="B48" s="36" t="s">
        <v>41</v>
      </c>
      <c r="C48" s="41">
        <f>44023997155/1000000</f>
        <v>44023.997154999997</v>
      </c>
      <c r="D48" s="41">
        <v>19826.224578000001</v>
      </c>
      <c r="E48" s="41">
        <f>6271987249/1000000</f>
        <v>6271.9872489999998</v>
      </c>
      <c r="F48" s="15">
        <v>6578.3032009999997</v>
      </c>
      <c r="G48" s="13">
        <f>SUM(C48:F48)</f>
        <v>76700.512182999999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94522</v>
      </c>
      <c r="D54" s="41">
        <v>1634</v>
      </c>
      <c r="E54" s="42">
        <v>1241</v>
      </c>
      <c r="F54" s="41">
        <v>1267</v>
      </c>
      <c r="G54" s="41">
        <f t="shared" ref="G54:G70" si="0">SUM(C54:F54)</f>
        <v>98664</v>
      </c>
    </row>
    <row r="55" spans="1:8" x14ac:dyDescent="0.25">
      <c r="B55" s="36" t="s">
        <v>46</v>
      </c>
      <c r="C55" s="41">
        <v>29784.380131000002</v>
      </c>
      <c r="D55" s="41">
        <v>2353.335</v>
      </c>
      <c r="E55" s="42">
        <v>2600.5134170000001</v>
      </c>
      <c r="F55" s="42">
        <v>2417</v>
      </c>
      <c r="G55" s="41">
        <f t="shared" si="0"/>
        <v>37155.228547999999</v>
      </c>
    </row>
    <row r="56" spans="1:8" x14ac:dyDescent="0.25">
      <c r="B56" s="36" t="s">
        <v>47</v>
      </c>
      <c r="C56" s="41">
        <v>8.4035039461712593</v>
      </c>
      <c r="D56" s="41">
        <v>37.244025274793174</v>
      </c>
      <c r="E56" s="59">
        <v>31</v>
      </c>
      <c r="F56" s="41">
        <v>31</v>
      </c>
      <c r="G56" s="41">
        <f>AVERAGE(C56:F56)</f>
        <v>26.911882305241107</v>
      </c>
    </row>
    <row r="57" spans="1:8" x14ac:dyDescent="0.25">
      <c r="B57" s="36" t="s">
        <v>48</v>
      </c>
      <c r="C57" s="41">
        <v>745435</v>
      </c>
      <c r="D57" s="41">
        <v>187168</v>
      </c>
      <c r="E57" s="42">
        <v>61278</v>
      </c>
      <c r="F57" s="41">
        <v>91988</v>
      </c>
      <c r="G57" s="41">
        <f t="shared" si="0"/>
        <v>1085869</v>
      </c>
    </row>
    <row r="58" spans="1:8" x14ac:dyDescent="0.25">
      <c r="B58" s="36" t="s">
        <v>49</v>
      </c>
      <c r="C58" s="41">
        <v>1462579.9236409999</v>
      </c>
      <c r="D58" s="41">
        <v>320887.76248500001</v>
      </c>
      <c r="E58" s="60">
        <v>96418.514291</v>
      </c>
      <c r="F58" s="41">
        <v>163922</v>
      </c>
      <c r="G58" s="13">
        <f t="shared" si="0"/>
        <v>2043808.2004170001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2716</v>
      </c>
      <c r="D66" s="41">
        <v>1386</v>
      </c>
      <c r="E66" s="42">
        <v>1098</v>
      </c>
      <c r="F66" s="42">
        <v>5496</v>
      </c>
      <c r="G66" s="39">
        <f t="shared" si="0"/>
        <v>10696</v>
      </c>
    </row>
    <row r="67" spans="1:8" x14ac:dyDescent="0.25">
      <c r="B67" s="36" t="s">
        <v>46</v>
      </c>
      <c r="C67" s="41">
        <v>1524.027372</v>
      </c>
      <c r="D67" s="41">
        <v>1744.0650000000001</v>
      </c>
      <c r="E67" s="42">
        <v>1719.5253740000001</v>
      </c>
      <c r="F67" s="42">
        <v>5743</v>
      </c>
      <c r="G67" s="39">
        <f t="shared" si="0"/>
        <v>10730.617746</v>
      </c>
    </row>
    <row r="68" spans="1:8" x14ac:dyDescent="0.25">
      <c r="B68" s="36" t="s">
        <v>47</v>
      </c>
      <c r="C68" s="41">
        <v>35.733431516936697</v>
      </c>
      <c r="D68" s="41">
        <v>54.793342353881073</v>
      </c>
      <c r="E68" s="42">
        <v>42</v>
      </c>
      <c r="F68" s="41">
        <v>43</v>
      </c>
      <c r="G68" s="39">
        <f>AVERAGE(C68:F68)</f>
        <v>43.881693467704444</v>
      </c>
    </row>
    <row r="69" spans="1:8" x14ac:dyDescent="0.25">
      <c r="B69" s="36" t="s">
        <v>48</v>
      </c>
      <c r="C69" s="41">
        <v>133520</v>
      </c>
      <c r="D69" s="41">
        <v>100583</v>
      </c>
      <c r="E69" s="42">
        <v>60908</v>
      </c>
      <c r="F69" s="15">
        <v>280764</v>
      </c>
      <c r="G69" s="39">
        <f t="shared" si="0"/>
        <v>575775</v>
      </c>
    </row>
    <row r="70" spans="1:8" x14ac:dyDescent="0.25">
      <c r="B70" s="36" t="s">
        <v>49</v>
      </c>
      <c r="C70" s="41">
        <v>99188.195695999995</v>
      </c>
      <c r="D70" s="41">
        <v>83023.687072999994</v>
      </c>
      <c r="E70" s="42">
        <v>46119.867394000001</v>
      </c>
      <c r="F70" s="9">
        <v>182528</v>
      </c>
      <c r="G70" s="40">
        <f t="shared" si="0"/>
        <v>410859.75016299996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97239</v>
      </c>
      <c r="D72" s="22">
        <f>+D66+D60+D54</f>
        <v>3020</v>
      </c>
      <c r="E72" s="22">
        <f t="shared" ref="E72:E73" si="1">+E66+E60+E54</f>
        <v>2339</v>
      </c>
      <c r="F72" s="22">
        <f>+F54+F66</f>
        <v>6763</v>
      </c>
      <c r="G72" s="22">
        <f>SUM(C72:F72)</f>
        <v>109361</v>
      </c>
    </row>
    <row r="73" spans="1:8" x14ac:dyDescent="0.25">
      <c r="B73" s="21" t="s">
        <v>46</v>
      </c>
      <c r="C73" s="22">
        <v>31308.431701000001</v>
      </c>
      <c r="D73" s="22">
        <f t="shared" ref="D73:E76" si="2">+D67+D61+D55</f>
        <v>4097.3999999999996</v>
      </c>
      <c r="E73" s="22">
        <f t="shared" si="1"/>
        <v>4320.0387909999999</v>
      </c>
      <c r="F73" s="72">
        <f>+F55+F67</f>
        <v>8160</v>
      </c>
      <c r="G73" s="25">
        <f>SUM(C73:F73)</f>
        <v>47885.870492000002</v>
      </c>
    </row>
    <row r="74" spans="1:8" x14ac:dyDescent="0.25">
      <c r="B74" s="21" t="s">
        <v>47</v>
      </c>
      <c r="C74" s="22">
        <v>9.1668054998508808</v>
      </c>
      <c r="D74" s="22">
        <f>(+D56+D62+D68)/3</f>
        <v>30.679122542891417</v>
      </c>
      <c r="E74" s="22">
        <v>34</v>
      </c>
      <c r="F74" s="22">
        <f>(F56+F68)/2</f>
        <v>37</v>
      </c>
      <c r="G74" s="22">
        <f>AVERAGE(C74:F74)</f>
        <v>27.711482010685575</v>
      </c>
    </row>
    <row r="75" spans="1:8" x14ac:dyDescent="0.25">
      <c r="B75" s="21" t="s">
        <v>48</v>
      </c>
      <c r="C75" s="22">
        <v>1129447</v>
      </c>
      <c r="D75" s="22">
        <f t="shared" si="2"/>
        <v>287751</v>
      </c>
      <c r="E75" s="22">
        <f t="shared" si="2"/>
        <v>122186</v>
      </c>
      <c r="F75" s="22">
        <f>+F57+F69</f>
        <v>372752</v>
      </c>
      <c r="G75" s="22">
        <f>SUM(C75:F75)</f>
        <v>1912136</v>
      </c>
    </row>
    <row r="76" spans="1:8" x14ac:dyDescent="0.25">
      <c r="B76" s="21" t="s">
        <v>49</v>
      </c>
      <c r="C76" s="22">
        <v>1561768.1575760001</v>
      </c>
      <c r="D76" s="22">
        <f>+D70+D64+D58</f>
        <v>403911.44955800002</v>
      </c>
      <c r="E76" s="22">
        <f t="shared" si="2"/>
        <v>142538.381685</v>
      </c>
      <c r="F76" s="72">
        <f>+F58+F70</f>
        <v>346450</v>
      </c>
      <c r="G76" s="25">
        <f>SUM(C76:F76)</f>
        <v>2454667.9888190003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B80" s="36" t="s">
        <v>45</v>
      </c>
      <c r="C80" s="23">
        <v>0</v>
      </c>
      <c r="D80" s="36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29">
        <v>0</v>
      </c>
      <c r="D81" s="36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29">
        <v>0</v>
      </c>
      <c r="D82" s="36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41">
        <v>1123</v>
      </c>
      <c r="D83" s="41">
        <v>140</v>
      </c>
      <c r="E83" s="51">
        <v>7</v>
      </c>
      <c r="F83" s="29">
        <v>120</v>
      </c>
      <c r="G83" s="29">
        <f>SUM(C83:F83)</f>
        <v>1390</v>
      </c>
    </row>
    <row r="84" spans="2:7" x14ac:dyDescent="0.25">
      <c r="B84" s="36" t="s">
        <v>49</v>
      </c>
      <c r="C84" s="41">
        <v>22273.043576</v>
      </c>
      <c r="D84" s="41">
        <v>1617.955179</v>
      </c>
      <c r="E84" s="51">
        <v>87</v>
      </c>
      <c r="F84" s="41">
        <v>2096.8193689999998</v>
      </c>
      <c r="G84" s="13">
        <f>SUM(C84:F84)</f>
        <v>26074.818124000001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29">
        <v>13</v>
      </c>
      <c r="D95" s="64">
        <v>0</v>
      </c>
      <c r="E95" s="23">
        <v>0</v>
      </c>
      <c r="F95" s="29">
        <v>9</v>
      </c>
      <c r="G95" s="39">
        <f>SUM(C95:F95)</f>
        <v>22</v>
      </c>
    </row>
    <row r="96" spans="2:7" x14ac:dyDescent="0.25">
      <c r="B96" s="36" t="s">
        <v>49</v>
      </c>
      <c r="C96" s="29">
        <v>194.92135999999999</v>
      </c>
      <c r="D96" s="64">
        <v>0</v>
      </c>
      <c r="E96" s="23">
        <v>0</v>
      </c>
      <c r="F96" s="29">
        <v>120.204925</v>
      </c>
      <c r="G96" s="13">
        <f>SUM(C96:F96)</f>
        <v>315.126285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2">
        <v>0</v>
      </c>
      <c r="D98" s="22">
        <v>0</v>
      </c>
      <c r="E98" s="22">
        <v>0</v>
      </c>
      <c r="F98" s="24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22">
        <v>0</v>
      </c>
      <c r="E99" s="22">
        <v>0</v>
      </c>
      <c r="F99" s="24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22">
        <v>0</v>
      </c>
      <c r="E100" s="22">
        <v>0</v>
      </c>
      <c r="F100" s="24">
        <v>0</v>
      </c>
      <c r="G100" s="22">
        <f>AVERAGE(C100:F100)</f>
        <v>0</v>
      </c>
    </row>
    <row r="101" spans="1:8" x14ac:dyDescent="0.25">
      <c r="B101" s="21" t="s">
        <v>48</v>
      </c>
      <c r="C101" s="22">
        <v>1136</v>
      </c>
      <c r="D101" s="22">
        <f t="shared" ref="D101:D102" si="3">+D95+D89+D83</f>
        <v>140</v>
      </c>
      <c r="E101" s="32">
        <v>7</v>
      </c>
      <c r="F101" s="32">
        <v>0</v>
      </c>
      <c r="G101" s="22">
        <f>SUM(C101:F101)</f>
        <v>1283</v>
      </c>
    </row>
    <row r="102" spans="1:8" x14ac:dyDescent="0.25">
      <c r="B102" s="21" t="s">
        <v>49</v>
      </c>
      <c r="C102" s="22">
        <v>22467.964936</v>
      </c>
      <c r="D102" s="22">
        <f t="shared" si="3"/>
        <v>1617.955179</v>
      </c>
      <c r="E102" s="32">
        <v>87</v>
      </c>
      <c r="F102" s="25">
        <v>0</v>
      </c>
      <c r="G102" s="25">
        <f>SUM(C102:F102)</f>
        <v>24172.920115000001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6">
        <v>1.78343035343033</v>
      </c>
      <c r="D106" s="16">
        <v>2.736637168141594</v>
      </c>
      <c r="E106" s="45">
        <v>2.5299999999999998</v>
      </c>
      <c r="F106" s="98">
        <v>2.13</v>
      </c>
      <c r="G106" s="74">
        <f>AVERAGE(C106:F106)</f>
        <v>2.2950168803929811</v>
      </c>
    </row>
    <row r="107" spans="1:8" x14ac:dyDescent="0.25">
      <c r="B107" s="36" t="s">
        <v>58</v>
      </c>
      <c r="C107" s="16">
        <v>1.79862533692722</v>
      </c>
      <c r="D107" s="16">
        <v>2.5978391959799003</v>
      </c>
      <c r="E107" s="48">
        <v>2.54</v>
      </c>
      <c r="F107" s="98">
        <v>2.09</v>
      </c>
      <c r="G107" s="74">
        <f>AVERAGE(C107:F107)</f>
        <v>2.25661613322678</v>
      </c>
    </row>
    <row r="108" spans="1:8" x14ac:dyDescent="0.25">
      <c r="B108" s="36" t="s">
        <v>59</v>
      </c>
      <c r="C108" s="16">
        <v>1.62534691629952</v>
      </c>
      <c r="D108" s="16">
        <v>2.382380952380954</v>
      </c>
      <c r="E108" s="45">
        <v>2.2599999999999998</v>
      </c>
      <c r="F108" s="98">
        <v>2.11</v>
      </c>
      <c r="G108" s="74">
        <f>AVERAGE(C108:F108)</f>
        <v>2.0944319671701184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1.47</v>
      </c>
      <c r="D110" s="16">
        <v>1.81</v>
      </c>
      <c r="E110" s="45">
        <v>1.53</v>
      </c>
      <c r="F110" s="98">
        <v>1.39</v>
      </c>
      <c r="G110" s="74">
        <f>AVERAGE(C110:F110)</f>
        <v>1.55</v>
      </c>
    </row>
    <row r="111" spans="1:8" x14ac:dyDescent="0.25">
      <c r="B111" s="36" t="s">
        <v>58</v>
      </c>
      <c r="C111" s="16">
        <v>1.45</v>
      </c>
      <c r="D111" s="16">
        <v>1.7650000000000001</v>
      </c>
      <c r="E111" s="45">
        <v>1.7</v>
      </c>
      <c r="F111" s="98">
        <v>1.43</v>
      </c>
      <c r="G111" s="74">
        <f>AVERAGE(C111:F111)</f>
        <v>1.5862499999999999</v>
      </c>
    </row>
    <row r="112" spans="1:8" x14ac:dyDescent="0.25">
      <c r="B112" s="36" t="s">
        <v>59</v>
      </c>
      <c r="C112" s="16">
        <v>1.08008968609865</v>
      </c>
      <c r="D112" s="16">
        <v>1.7881818181818185</v>
      </c>
      <c r="E112" s="45">
        <v>1.73</v>
      </c>
      <c r="F112" s="98">
        <v>1.58</v>
      </c>
      <c r="G112" s="74">
        <f>AVERAGE(C112:F112)</f>
        <v>1.5445678760701171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1.3899999999999899</v>
      </c>
      <c r="D115" s="16">
        <v>1.7662000000000004</v>
      </c>
      <c r="E115" s="48">
        <v>1.57</v>
      </c>
      <c r="F115" s="98">
        <v>1.45</v>
      </c>
      <c r="G115" s="74">
        <f>AVERAGE(C115:F115)</f>
        <v>1.5440499999999977</v>
      </c>
    </row>
    <row r="116" spans="1:9" x14ac:dyDescent="0.25">
      <c r="B116" s="36" t="s">
        <v>58</v>
      </c>
      <c r="C116" s="16">
        <v>1.3879057591622901</v>
      </c>
      <c r="D116" s="16">
        <v>1.7669148936170218</v>
      </c>
      <c r="E116" s="48">
        <v>1.57</v>
      </c>
      <c r="F116" s="98">
        <v>1.45</v>
      </c>
      <c r="G116" s="74">
        <f>AVERAGE(C116:F116)</f>
        <v>1.543705163194828</v>
      </c>
    </row>
    <row r="117" spans="1:9" x14ac:dyDescent="0.25">
      <c r="B117" s="36" t="s">
        <v>59</v>
      </c>
      <c r="C117" s="16">
        <v>1.37547655068078</v>
      </c>
      <c r="D117" s="16">
        <v>1.7668380743982366</v>
      </c>
      <c r="E117" s="48">
        <v>1.4</v>
      </c>
      <c r="F117" s="98">
        <v>1.51</v>
      </c>
      <c r="G117" s="74">
        <f>AVERAGE(C117:F117)</f>
        <v>1.5130786562697542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16">
        <v>0</v>
      </c>
      <c r="D119" s="16">
        <v>1.1900000000000002</v>
      </c>
      <c r="E119" s="37">
        <v>0</v>
      </c>
      <c r="F119" s="16">
        <v>0.99</v>
      </c>
      <c r="G119" s="74">
        <f>AVERAGE(C119:F119)</f>
        <v>0.54500000000000004</v>
      </c>
      <c r="I119" s="10"/>
    </row>
    <row r="120" spans="1:9" x14ac:dyDescent="0.25">
      <c r="B120" s="36" t="s">
        <v>58</v>
      </c>
      <c r="C120" s="16">
        <v>0</v>
      </c>
      <c r="D120" s="16">
        <v>1.1900000000000002</v>
      </c>
      <c r="E120" s="37">
        <v>0</v>
      </c>
      <c r="F120" s="16">
        <v>0.99</v>
      </c>
      <c r="G120" s="74">
        <f>AVERAGE(C120:F120)</f>
        <v>0.54500000000000004</v>
      </c>
      <c r="I120" s="10"/>
    </row>
    <row r="121" spans="1:9" x14ac:dyDescent="0.25">
      <c r="B121" s="36" t="s">
        <v>59</v>
      </c>
      <c r="C121" s="16">
        <v>0.99</v>
      </c>
      <c r="D121" s="16">
        <v>1.1900000000000002</v>
      </c>
      <c r="E121" s="45">
        <v>1.05</v>
      </c>
      <c r="F121" s="16">
        <v>1.19</v>
      </c>
      <c r="G121" s="74">
        <f>AVERAGE(C121:F121)</f>
        <v>1.105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16">
        <v>0</v>
      </c>
      <c r="D124" s="31">
        <v>0</v>
      </c>
      <c r="E124" s="23">
        <v>0</v>
      </c>
      <c r="F124" s="23">
        <v>0</v>
      </c>
      <c r="G124" s="40">
        <f>AVERAGE(C124:F124)</f>
        <v>0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6">
        <v>1.65637853148762</v>
      </c>
      <c r="D126" s="65">
        <v>2.0106197845599501</v>
      </c>
      <c r="E126" s="52">
        <v>2.0592860000000002</v>
      </c>
      <c r="F126" s="14">
        <v>0</v>
      </c>
      <c r="G126" s="40">
        <f>AVERAGE(C126:F126)</f>
        <v>1.4315710790118925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53"/>
      <c r="G128" s="153"/>
    </row>
    <row r="129" spans="1:9" x14ac:dyDescent="0.25">
      <c r="B129" s="36" t="s">
        <v>68</v>
      </c>
      <c r="C129" s="41">
        <v>330178</v>
      </c>
      <c r="D129" s="41">
        <v>38429</v>
      </c>
      <c r="E129" s="41">
        <v>8655</v>
      </c>
      <c r="F129" s="41">
        <v>1087</v>
      </c>
      <c r="G129" s="39">
        <f>SUM(C129:F129)</f>
        <v>378349</v>
      </c>
    </row>
    <row r="130" spans="1:9" x14ac:dyDescent="0.25">
      <c r="B130" s="36" t="s">
        <v>69</v>
      </c>
      <c r="C130" s="41">
        <v>172594.34351000001</v>
      </c>
      <c r="D130" s="41">
        <v>406</v>
      </c>
      <c r="E130" s="41">
        <v>1123</v>
      </c>
      <c r="F130" s="41">
        <v>1381.8680469999999</v>
      </c>
      <c r="G130" s="13">
        <f>SUM(C130:F130)</f>
        <v>175505.211557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41">
        <v>718491</v>
      </c>
      <c r="D133" s="41">
        <v>224493</v>
      </c>
      <c r="E133" s="41">
        <f>33591+109942</f>
        <v>143533</v>
      </c>
      <c r="F133" s="41">
        <v>362159</v>
      </c>
      <c r="G133" s="39">
        <f>SUM(C133:F133)</f>
        <v>1448676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39">
        <v>0</v>
      </c>
      <c r="D137" s="41">
        <v>9536</v>
      </c>
      <c r="E137" s="39">
        <v>0</v>
      </c>
      <c r="F137" s="41">
        <v>16018</v>
      </c>
      <c r="G137" s="41">
        <f>SUM(C137:F137)</f>
        <v>25554</v>
      </c>
      <c r="H137" s="9"/>
      <c r="I137" s="9"/>
    </row>
    <row r="138" spans="1:9" x14ac:dyDescent="0.25">
      <c r="B138" s="36" t="s">
        <v>75</v>
      </c>
      <c r="C138" s="39">
        <v>0</v>
      </c>
      <c r="D138" s="41">
        <v>16</v>
      </c>
      <c r="E138" s="39">
        <v>0</v>
      </c>
      <c r="F138" s="41">
        <v>172</v>
      </c>
      <c r="G138" s="41">
        <f>SUM(C138:F138)</f>
        <v>188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41">
        <v>1026</v>
      </c>
      <c r="D147" s="41">
        <v>3807</v>
      </c>
      <c r="E147" s="63"/>
      <c r="F147" s="1">
        <v>1013</v>
      </c>
      <c r="G147" s="39">
        <f>SUM(C147:F147)</f>
        <v>5846</v>
      </c>
    </row>
    <row r="148" spans="1:8" x14ac:dyDescent="0.25">
      <c r="B148" s="36" t="s">
        <v>82</v>
      </c>
      <c r="C148" s="41">
        <f>20891000/1000000</f>
        <v>20.890999999999998</v>
      </c>
      <c r="D148" s="41">
        <v>74.722999999999999</v>
      </c>
      <c r="E148" s="49"/>
      <c r="F148" s="43">
        <v>11.674250000000001</v>
      </c>
      <c r="G148" s="13">
        <f>SUM(C148:F148)</f>
        <v>107.28825000000001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66">
        <v>0</v>
      </c>
      <c r="E151" s="93"/>
      <c r="F151" s="33">
        <v>0</v>
      </c>
      <c r="G151" s="39">
        <f>SUM(C151:F151)</f>
        <v>0</v>
      </c>
      <c r="H151" s="26"/>
    </row>
    <row r="152" spans="1:8" x14ac:dyDescent="0.25">
      <c r="B152" s="36" t="s">
        <v>85</v>
      </c>
      <c r="C152" s="36">
        <v>0</v>
      </c>
      <c r="D152" s="66">
        <v>0</v>
      </c>
      <c r="E152" s="91">
        <f>45000/1000000</f>
        <v>4.4999999999999998E-2</v>
      </c>
      <c r="F152" s="33">
        <v>0</v>
      </c>
      <c r="G152" s="13">
        <f>SUM(C152:F152)</f>
        <v>4.4999999999999998E-2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16</v>
      </c>
      <c r="E155" s="53">
        <v>0</v>
      </c>
      <c r="F155" s="53">
        <v>0</v>
      </c>
      <c r="G155" s="39">
        <f>SUM(C155:F155)</f>
        <v>16</v>
      </c>
      <c r="H155" s="26"/>
    </row>
    <row r="156" spans="1:8" x14ac:dyDescent="0.25">
      <c r="B156" s="36" t="s">
        <v>88</v>
      </c>
      <c r="C156" s="13">
        <v>0</v>
      </c>
      <c r="D156" s="41">
        <v>0</v>
      </c>
      <c r="E156" s="49">
        <v>0</v>
      </c>
      <c r="F156" s="53">
        <v>0</v>
      </c>
      <c r="G156" s="13">
        <f>SUM(C156:F156)</f>
        <v>0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2">
        <f>C155+C151+C147</f>
        <v>1026</v>
      </c>
      <c r="D159" s="22">
        <f>D147+D151+D155</f>
        <v>3823</v>
      </c>
      <c r="E159" s="72">
        <f>+E155+E151+E147</f>
        <v>0</v>
      </c>
      <c r="F159" s="22">
        <f>+F147+F155</f>
        <v>1013</v>
      </c>
      <c r="G159" s="22">
        <f>SUM(C159:F159)</f>
        <v>5862</v>
      </c>
    </row>
    <row r="160" spans="1:8" x14ac:dyDescent="0.25">
      <c r="B160" s="21" t="s">
        <v>91</v>
      </c>
      <c r="C160" s="22">
        <f>C156+C152+C148</f>
        <v>20.890999999999998</v>
      </c>
      <c r="D160" s="22">
        <f>D148+D152+D156</f>
        <v>74.722999999999999</v>
      </c>
      <c r="E160" s="72">
        <f>+E156+E152+E148</f>
        <v>4.4999999999999998E-2</v>
      </c>
      <c r="F160" s="72">
        <f>+F148+F156</f>
        <v>11.674250000000001</v>
      </c>
      <c r="G160" s="25">
        <f>SUM(C160:F160)</f>
        <v>107.33325000000001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41">
        <v>1167</v>
      </c>
      <c r="D163" s="41">
        <v>6627</v>
      </c>
      <c r="E163" s="77">
        <v>1579</v>
      </c>
      <c r="F163" s="41">
        <v>6842</v>
      </c>
      <c r="G163" s="39">
        <f>SUM(C163:F163)</f>
        <v>16215</v>
      </c>
    </row>
    <row r="164" spans="1:8" x14ac:dyDescent="0.25">
      <c r="B164" s="17" t="s">
        <v>88</v>
      </c>
      <c r="C164" s="41">
        <f>42200475/1000000</f>
        <v>42.200474999999997</v>
      </c>
      <c r="D164" s="41">
        <v>27.577538999999991</v>
      </c>
      <c r="E164" s="91">
        <f>18493744/1000000</f>
        <v>18.493744</v>
      </c>
      <c r="F164" s="77">
        <v>37.990397999999999</v>
      </c>
      <c r="G164" s="13">
        <f>SUM(C164:F164)</f>
        <v>126.26215599999998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50"/>
      <c r="G167" s="151"/>
    </row>
    <row r="168" spans="1:8" x14ac:dyDescent="0.25">
      <c r="B168" s="36" t="s">
        <v>95</v>
      </c>
      <c r="C168" s="58">
        <v>210</v>
      </c>
      <c r="D168" s="41">
        <v>1387</v>
      </c>
      <c r="E168" s="77">
        <v>42</v>
      </c>
      <c r="F168" s="41">
        <v>357</v>
      </c>
      <c r="G168" s="39">
        <f>SUM(C168:F168)</f>
        <v>1996</v>
      </c>
    </row>
    <row r="169" spans="1:8" x14ac:dyDescent="0.25">
      <c r="B169" s="36" t="s">
        <v>96</v>
      </c>
      <c r="C169" s="58">
        <f>5250000/1000000</f>
        <v>5.25</v>
      </c>
      <c r="D169" s="41">
        <v>19.119995000000003</v>
      </c>
      <c r="E169" s="99">
        <f>840000/1000000</f>
        <v>0.84</v>
      </c>
      <c r="F169" s="41">
        <v>13.058999999999999</v>
      </c>
      <c r="G169" s="13">
        <f>SUM(C169:F169)</f>
        <v>38.268995000000004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50"/>
      <c r="G171" s="151"/>
    </row>
    <row r="172" spans="1:8" x14ac:dyDescent="0.25">
      <c r="B172" s="36" t="s">
        <v>98</v>
      </c>
      <c r="C172" s="58">
        <v>1355</v>
      </c>
      <c r="D172" s="41">
        <v>498</v>
      </c>
      <c r="E172" s="77">
        <v>137</v>
      </c>
      <c r="F172" s="1">
        <v>289</v>
      </c>
      <c r="G172" s="39">
        <f>SUM(C172:F172)</f>
        <v>2279</v>
      </c>
    </row>
    <row r="173" spans="1:8" x14ac:dyDescent="0.25">
      <c r="B173" s="36" t="s">
        <v>96</v>
      </c>
      <c r="C173" s="58">
        <f>29810000/1000000</f>
        <v>29.81</v>
      </c>
      <c r="D173" s="58">
        <v>10.455</v>
      </c>
      <c r="E173" s="58">
        <f>3425000/1000000</f>
        <v>3.4249999999999998</v>
      </c>
      <c r="F173" s="58">
        <v>6.3369999999999997</v>
      </c>
      <c r="G173" s="13">
        <f>SUM(C173:F173)</f>
        <v>50.027000000000001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74" t="s">
        <v>99</v>
      </c>
      <c r="C175" s="175"/>
      <c r="D175" s="175"/>
      <c r="E175" s="175"/>
      <c r="F175" s="175"/>
      <c r="G175" s="176"/>
    </row>
    <row r="176" spans="1:8" x14ac:dyDescent="0.25">
      <c r="B176" s="6" t="s">
        <v>98</v>
      </c>
      <c r="C176" s="68">
        <v>111</v>
      </c>
      <c r="D176" s="41">
        <v>204</v>
      </c>
      <c r="E176" s="77">
        <v>122</v>
      </c>
      <c r="F176" s="1">
        <v>29</v>
      </c>
      <c r="G176" s="89">
        <f>SUM(C176:F176)</f>
        <v>466</v>
      </c>
    </row>
    <row r="177" spans="1:8" x14ac:dyDescent="0.25">
      <c r="B177" s="36" t="s">
        <v>96</v>
      </c>
      <c r="C177" s="68">
        <f>7770000/1000000</f>
        <v>7.77</v>
      </c>
      <c r="D177" s="68">
        <v>16.47</v>
      </c>
      <c r="E177" s="68">
        <f>6937719/1000000</f>
        <v>6.9377190000000004</v>
      </c>
      <c r="F177" s="68">
        <v>3.05</v>
      </c>
      <c r="G177" s="90">
        <f>SUM(C177:F177)</f>
        <v>34.227719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68">
        <v>199</v>
      </c>
      <c r="D180" s="41">
        <v>28</v>
      </c>
      <c r="E180" s="28">
        <v>0</v>
      </c>
      <c r="F180" s="41">
        <v>0</v>
      </c>
      <c r="G180" s="39">
        <f>SUM(C180:F180)</f>
        <v>227</v>
      </c>
    </row>
    <row r="181" spans="1:8" x14ac:dyDescent="0.25">
      <c r="B181" s="36" t="s">
        <v>96</v>
      </c>
      <c r="C181" s="68">
        <f>6275000/1000000</f>
        <v>6.2750000000000004</v>
      </c>
      <c r="D181" s="68">
        <v>6.4707649999999992</v>
      </c>
      <c r="E181" s="68">
        <v>0</v>
      </c>
      <c r="F181" s="68">
        <v>0</v>
      </c>
      <c r="G181" s="13">
        <f>SUM(C181:F181)</f>
        <v>12.745764999999999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69">
        <v>1875</v>
      </c>
      <c r="D184" s="22">
        <f>D168+D172+D176+D180</f>
        <v>2117</v>
      </c>
      <c r="E184" s="22">
        <f>+E168+E172+E176+E180</f>
        <v>301</v>
      </c>
      <c r="F184" s="22">
        <f>+F168+F172+F176+F180</f>
        <v>675</v>
      </c>
      <c r="G184" s="22">
        <f>SUM(C184:F184)</f>
        <v>4968</v>
      </c>
    </row>
    <row r="185" spans="1:8" x14ac:dyDescent="0.25">
      <c r="B185" s="21" t="s">
        <v>103</v>
      </c>
      <c r="C185" s="69">
        <f>49105000/1000000</f>
        <v>49.104999999999997</v>
      </c>
      <c r="D185" s="22">
        <f>D169+D173+D177+D181</f>
        <v>52.51576</v>
      </c>
      <c r="E185" s="22">
        <f>+E169+E173+E177+E181</f>
        <v>11.202719</v>
      </c>
      <c r="F185" s="22">
        <f>+F169+F173+F177+F181</f>
        <v>22.446000000000002</v>
      </c>
      <c r="G185" s="25">
        <f>SUM(C185:F185)</f>
        <v>135.26947899999999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36">
        <v>245</v>
      </c>
      <c r="D188" s="41">
        <v>1486</v>
      </c>
      <c r="E188" s="41">
        <v>46</v>
      </c>
      <c r="F188" s="41">
        <f>F167+F172+F176+F180+F163</f>
        <v>7160</v>
      </c>
      <c r="G188" s="39">
        <f>SUM(C188:F188)</f>
        <v>8937</v>
      </c>
    </row>
    <row r="189" spans="1:8" x14ac:dyDescent="0.25">
      <c r="B189" s="17" t="s">
        <v>106</v>
      </c>
      <c r="C189" s="34">
        <f>3779357/100000</f>
        <v>37.793570000000003</v>
      </c>
      <c r="D189" s="41">
        <v>41.569834999999998</v>
      </c>
      <c r="E189" s="41">
        <f>1840000/1000000</f>
        <v>1.84</v>
      </c>
      <c r="F189" s="41">
        <f>F168+F173+F177+F181+F164</f>
        <v>404.37739799999997</v>
      </c>
      <c r="G189" s="13">
        <f>SUM(C189:F189)</f>
        <v>485.58080299999995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4319</v>
      </c>
      <c r="D192" s="22">
        <f>+D188+D184+D163+D159</f>
        <v>14053</v>
      </c>
      <c r="E192" s="22">
        <f t="shared" ref="E192:E193" si="4">+E188+E184+E163+E159</f>
        <v>1926</v>
      </c>
      <c r="F192" s="22">
        <f>F159+F163+F184+F188</f>
        <v>15690</v>
      </c>
      <c r="G192" s="22">
        <f>SUM(C192:F192)</f>
        <v>35988</v>
      </c>
    </row>
    <row r="193" spans="2:7" x14ac:dyDescent="0.25">
      <c r="B193" s="21" t="s">
        <v>109</v>
      </c>
      <c r="C193" s="22">
        <f>117505832/1000000</f>
        <v>117.505832</v>
      </c>
      <c r="D193" s="22">
        <f>+D189+D185+D164+D160</f>
        <v>196.38613399999997</v>
      </c>
      <c r="E193" s="22">
        <f t="shared" si="4"/>
        <v>31.581462999999999</v>
      </c>
      <c r="F193" s="22">
        <f>F160+F185+F164+F189</f>
        <v>476.48804599999994</v>
      </c>
      <c r="G193" s="25">
        <f>SUM(C193:F193)</f>
        <v>821.96147499999984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1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2:G52"/>
    <mergeCell ref="B32:G32"/>
    <mergeCell ref="B36:H36"/>
    <mergeCell ref="B37:G37"/>
    <mergeCell ref="B38:G38"/>
    <mergeCell ref="B41:H41"/>
    <mergeCell ref="B42:G42"/>
    <mergeCell ref="B45:H45"/>
    <mergeCell ref="B46:G46"/>
    <mergeCell ref="B49:H49"/>
    <mergeCell ref="B50:G50"/>
    <mergeCell ref="B51:H51"/>
    <mergeCell ref="B104:G104"/>
    <mergeCell ref="B53:G53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132:G132"/>
    <mergeCell ref="B105:G105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50:G150"/>
    <mergeCell ref="B134:H134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74:H174"/>
    <mergeCell ref="B153:H153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87:G187"/>
    <mergeCell ref="B190:H190"/>
    <mergeCell ref="B191:G191"/>
    <mergeCell ref="B175:G175"/>
    <mergeCell ref="B178:H178"/>
    <mergeCell ref="B179:G179"/>
    <mergeCell ref="B182:H182"/>
    <mergeCell ref="B183:G183"/>
    <mergeCell ref="B186:H186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E5FD-9E08-452F-B6CC-430542C59882}">
  <dimension ref="A1:BD197"/>
  <sheetViews>
    <sheetView topLeftCell="B1" zoomScaleNormal="100" workbookViewId="0">
      <selection activeCell="C124" sqref="C124"/>
    </sheetView>
  </sheetViews>
  <sheetFormatPr baseColWidth="10" defaultColWidth="9.140625" defaultRowHeight="15" x14ac:dyDescent="0.25"/>
  <cols>
    <col min="1" max="1" width="11.425781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111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41">
        <v>56891</v>
      </c>
      <c r="D6" s="41">
        <v>8444</v>
      </c>
      <c r="E6" s="20">
        <v>9732</v>
      </c>
      <c r="F6" s="15">
        <v>10897</v>
      </c>
      <c r="G6" s="15">
        <f>+F6+E6+D6+C6</f>
        <v>85964</v>
      </c>
    </row>
    <row r="7" spans="1:7" x14ac:dyDescent="0.25">
      <c r="B7" s="36" t="s">
        <v>10</v>
      </c>
      <c r="C7" s="67">
        <v>524</v>
      </c>
      <c r="D7" s="41">
        <v>229</v>
      </c>
      <c r="E7" s="20">
        <v>11</v>
      </c>
      <c r="F7" s="15">
        <v>130</v>
      </c>
      <c r="G7" s="15">
        <f>+F7+E7+D7+C7</f>
        <v>894</v>
      </c>
    </row>
    <row r="8" spans="1:7" x14ac:dyDescent="0.25">
      <c r="B8" s="21" t="s">
        <v>11</v>
      </c>
      <c r="C8" s="30">
        <f>SUM(C6:C7)</f>
        <v>57415</v>
      </c>
      <c r="D8" s="30">
        <f>+D6+D7</f>
        <v>8673</v>
      </c>
      <c r="E8" s="30">
        <f>SUM(E6:E7)</f>
        <v>9743</v>
      </c>
      <c r="F8" s="30">
        <f>SUM(F6:F7)</f>
        <v>11027</v>
      </c>
      <c r="G8" s="30">
        <f>+F8+E8+D8+C8</f>
        <v>86858</v>
      </c>
    </row>
    <row r="9" spans="1:7" x14ac:dyDescent="0.25">
      <c r="B9" s="139"/>
      <c r="C9" s="139"/>
      <c r="D9" s="139"/>
      <c r="E9" s="139"/>
      <c r="F9" s="139"/>
      <c r="G9" s="13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967994</v>
      </c>
      <c r="D12" s="41">
        <v>149032</v>
      </c>
      <c r="E12" s="81">
        <v>56324</v>
      </c>
      <c r="F12" s="20">
        <v>0</v>
      </c>
      <c r="G12" s="20">
        <f>SUM(C12:F12)</f>
        <v>1173350</v>
      </c>
    </row>
    <row r="13" spans="1:7" x14ac:dyDescent="0.25">
      <c r="B13" s="19" t="s">
        <v>15</v>
      </c>
      <c r="C13" s="15">
        <v>2140384</v>
      </c>
      <c r="D13" s="41">
        <v>491629</v>
      </c>
      <c r="E13" s="81">
        <v>215676</v>
      </c>
      <c r="F13" s="20">
        <v>0</v>
      </c>
      <c r="G13" s="20">
        <f>SUM(C13:F13)</f>
        <v>2847689</v>
      </c>
    </row>
    <row r="14" spans="1:7" x14ac:dyDescent="0.25">
      <c r="B14" s="21" t="s">
        <v>16</v>
      </c>
      <c r="C14" s="22">
        <f>SUM(C12:C13)</f>
        <v>3108378</v>
      </c>
      <c r="D14" s="22">
        <v>931674</v>
      </c>
      <c r="E14" s="22">
        <v>272000</v>
      </c>
      <c r="F14" s="22">
        <v>359859</v>
      </c>
      <c r="G14" s="22">
        <f>SUM(C14:F14)</f>
        <v>4671911</v>
      </c>
    </row>
    <row r="15" spans="1:7" x14ac:dyDescent="0.25">
      <c r="B15" s="21" t="s">
        <v>17</v>
      </c>
      <c r="C15" s="100">
        <v>413396</v>
      </c>
      <c r="D15" s="22">
        <v>139494</v>
      </c>
      <c r="E15" s="22">
        <v>2818</v>
      </c>
      <c r="F15" s="22">
        <v>121973</v>
      </c>
      <c r="G15" s="22">
        <f>SUM(C15:F15)</f>
        <v>677681</v>
      </c>
    </row>
    <row r="16" spans="1:7" x14ac:dyDescent="0.25">
      <c r="B16" s="21" t="s">
        <v>18</v>
      </c>
      <c r="C16" s="85">
        <f>C15+C14</f>
        <v>3521774</v>
      </c>
      <c r="D16" s="22">
        <f>+D14+D15</f>
        <v>1071168</v>
      </c>
      <c r="E16" s="22">
        <f>SUM(E14:E15)</f>
        <v>274818</v>
      </c>
      <c r="F16" s="22">
        <f>SUM(F12:F15)</f>
        <v>481832</v>
      </c>
      <c r="G16" s="22">
        <f>SUM(C16:F16)</f>
        <v>5349592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58">
        <v>3885</v>
      </c>
      <c r="D19" s="41">
        <v>2603</v>
      </c>
      <c r="E19" s="28">
        <v>0</v>
      </c>
      <c r="F19" s="28">
        <v>0</v>
      </c>
      <c r="G19" s="76">
        <f>SUM(C19:F19)</f>
        <v>6488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69">
        <v>3525659</v>
      </c>
      <c r="D21" s="22">
        <f>+D19+D16</f>
        <v>1073771</v>
      </c>
      <c r="E21" s="22">
        <f>+E19+E16</f>
        <v>274818</v>
      </c>
      <c r="F21" s="22">
        <f>F16</f>
        <v>481832</v>
      </c>
      <c r="G21" s="22">
        <f>SUM(C21:F21)</f>
        <v>5356080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69">
        <v>418472</v>
      </c>
      <c r="D24" s="100">
        <v>236616</v>
      </c>
      <c r="E24" s="100">
        <v>138127</v>
      </c>
      <c r="F24" s="22">
        <v>651059</v>
      </c>
      <c r="G24" s="69">
        <f>SUM(C24:F24)</f>
        <v>1444274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69">
        <v>3944131</v>
      </c>
      <c r="D27" s="22">
        <f>+D24+D21</f>
        <v>1310387</v>
      </c>
      <c r="E27" s="22">
        <f>+E21+E24</f>
        <v>412945</v>
      </c>
      <c r="F27" s="22">
        <f>+F24+F21</f>
        <v>1132891</v>
      </c>
      <c r="G27" s="22">
        <f>SUM(C27:F27)</f>
        <v>6800354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71" t="s">
        <v>26</v>
      </c>
      <c r="C29" s="172"/>
      <c r="D29" s="172"/>
      <c r="E29" s="172"/>
      <c r="F29" s="172"/>
      <c r="G29" s="173"/>
    </row>
    <row r="30" spans="2:8" x14ac:dyDescent="0.25">
      <c r="B30" s="6" t="s">
        <v>27</v>
      </c>
      <c r="C30" s="41">
        <v>1396313</v>
      </c>
      <c r="D30" s="41">
        <v>239145</v>
      </c>
      <c r="E30" s="81">
        <v>102371</v>
      </c>
      <c r="F30" s="41">
        <v>232079</v>
      </c>
      <c r="G30" s="88">
        <f>SUM(C30:F30)</f>
        <v>1969908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2620199993765</v>
      </c>
      <c r="D33" s="41">
        <v>481163023112</v>
      </c>
      <c r="E33" s="81">
        <v>198390199576</v>
      </c>
      <c r="F33" s="41">
        <v>309730844224</v>
      </c>
      <c r="G33" s="41">
        <f>SUM(C33:F33)</f>
        <v>3609484060677</v>
      </c>
    </row>
    <row r="34" spans="1:9" x14ac:dyDescent="0.25">
      <c r="B34" s="36" t="s">
        <v>30</v>
      </c>
      <c r="C34" s="41">
        <v>124006465318</v>
      </c>
      <c r="D34" s="41">
        <f>211829.0558918*D24</f>
        <v>50122143888.89415</v>
      </c>
      <c r="E34" s="81">
        <v>29498542200</v>
      </c>
      <c r="F34" s="41">
        <v>118066274650</v>
      </c>
      <c r="G34" s="41">
        <f>SUM(C34:F34)</f>
        <v>321693426056.89417</v>
      </c>
    </row>
    <row r="35" spans="1:9" x14ac:dyDescent="0.25">
      <c r="B35" s="21" t="s">
        <v>31</v>
      </c>
      <c r="C35" s="22">
        <f>SUM(C33:C34)</f>
        <v>2744206459083</v>
      </c>
      <c r="D35" s="22">
        <f>+D34+D33</f>
        <v>531285167000.89417</v>
      </c>
      <c r="E35" s="22">
        <f>+E33+E34</f>
        <v>227888741776</v>
      </c>
      <c r="F35" s="22">
        <f>SUM(F33:F34)</f>
        <v>427797118874</v>
      </c>
      <c r="G35" s="22">
        <f>SUM(C35:F35)</f>
        <v>3931177486733.894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669127</v>
      </c>
      <c r="D39" s="41">
        <v>151721</v>
      </c>
      <c r="E39" s="81">
        <v>59514</v>
      </c>
      <c r="F39" s="41">
        <v>74030</v>
      </c>
      <c r="G39" s="39">
        <f>SUM(C39:F39)</f>
        <v>954392</v>
      </c>
      <c r="H39" s="9"/>
      <c r="I39" s="9"/>
    </row>
    <row r="40" spans="1:9" x14ac:dyDescent="0.25">
      <c r="B40" s="36" t="s">
        <v>35</v>
      </c>
      <c r="C40" s="41">
        <f>2247468156/1000000</f>
        <v>2247.4681559999999</v>
      </c>
      <c r="D40" s="34">
        <v>842.81607199999996</v>
      </c>
      <c r="E40" s="81">
        <v>365</v>
      </c>
      <c r="F40" s="15">
        <v>445.17871600000001</v>
      </c>
      <c r="G40" s="13">
        <f>SUM(C40:F40)</f>
        <v>3900.4629439999999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36" t="s">
        <v>37</v>
      </c>
      <c r="C43" s="41">
        <v>41</v>
      </c>
      <c r="D43" s="41">
        <v>21</v>
      </c>
      <c r="E43" s="81">
        <v>15</v>
      </c>
      <c r="F43" s="81">
        <v>8</v>
      </c>
      <c r="G43" s="39">
        <f>SUM(C43:F43)</f>
        <v>85</v>
      </c>
      <c r="H43" s="9"/>
      <c r="I43" s="9"/>
    </row>
    <row r="44" spans="1:9" x14ac:dyDescent="0.25">
      <c r="B44" s="36" t="s">
        <v>38</v>
      </c>
      <c r="C44" s="97">
        <f>5215299/1000000</f>
        <v>5.2152989999999999</v>
      </c>
      <c r="D44" s="95">
        <v>0.25603100000000001</v>
      </c>
      <c r="E44" s="82">
        <v>0.1</v>
      </c>
      <c r="F44" s="81">
        <v>0.121561</v>
      </c>
      <c r="G44" s="13">
        <f>SUM(C44:F44)</f>
        <v>5.6928909999999995</v>
      </c>
      <c r="H44" s="9"/>
      <c r="I44" s="9"/>
    </row>
    <row r="45" spans="1:9" x14ac:dyDescent="0.25">
      <c r="A45" s="4"/>
      <c r="B45" s="139"/>
      <c r="C45" s="139"/>
      <c r="D45" s="139"/>
      <c r="E45" s="139"/>
      <c r="F45" s="139"/>
      <c r="G45" s="139"/>
      <c r="H45" s="139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88393</v>
      </c>
      <c r="D47" s="41">
        <v>41531</v>
      </c>
      <c r="E47" s="83">
        <v>6468</v>
      </c>
      <c r="F47" s="41">
        <v>36911</v>
      </c>
      <c r="G47" s="41">
        <f>SUM(C47:F47)</f>
        <v>173303</v>
      </c>
      <c r="H47" s="9"/>
      <c r="I47" s="9"/>
    </row>
    <row r="48" spans="1:9" x14ac:dyDescent="0.25">
      <c r="B48" s="36" t="s">
        <v>41</v>
      </c>
      <c r="C48" s="41">
        <f>(37981687578+1061031516)/1000000</f>
        <v>39042.719094</v>
      </c>
      <c r="D48" s="41">
        <v>14551.626956</v>
      </c>
      <c r="E48" s="83">
        <f>5543176/1000</f>
        <v>5543.1760000000004</v>
      </c>
      <c r="F48" s="15">
        <v>5022.4335590000001</v>
      </c>
      <c r="G48" s="13">
        <f>SUM(C48:F48)</f>
        <v>64159.955608999997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100896</v>
      </c>
      <c r="D54" s="41">
        <v>2197</v>
      </c>
      <c r="E54" s="42">
        <v>874</v>
      </c>
      <c r="F54" s="41">
        <v>1519</v>
      </c>
      <c r="G54" s="41">
        <f t="shared" ref="G54:G70" si="0">SUM(C54:F54)</f>
        <v>105486</v>
      </c>
    </row>
    <row r="55" spans="1:8" x14ac:dyDescent="0.25">
      <c r="B55" s="36" t="s">
        <v>46</v>
      </c>
      <c r="C55" s="41">
        <v>31266.315122</v>
      </c>
      <c r="D55" s="41">
        <v>3525.18</v>
      </c>
      <c r="E55" s="42">
        <v>1709.479151</v>
      </c>
      <c r="F55" s="42">
        <v>2832</v>
      </c>
      <c r="G55" s="41">
        <f t="shared" si="0"/>
        <v>39332.974273</v>
      </c>
    </row>
    <row r="56" spans="1:8" x14ac:dyDescent="0.25">
      <c r="B56" s="36" t="s">
        <v>47</v>
      </c>
      <c r="C56" s="41">
        <v>7.5546205994291196</v>
      </c>
      <c r="D56" s="41">
        <v>38.04654249238714</v>
      </c>
      <c r="E56" s="59">
        <v>29</v>
      </c>
      <c r="F56" s="41">
        <v>32</v>
      </c>
      <c r="G56" s="41">
        <f>AVERAGE(C56:F56)</f>
        <v>26.650290772954065</v>
      </c>
    </row>
    <row r="57" spans="1:8" x14ac:dyDescent="0.25">
      <c r="B57" s="36" t="s">
        <v>48</v>
      </c>
      <c r="C57" s="41">
        <v>750047</v>
      </c>
      <c r="D57" s="41">
        <v>186015</v>
      </c>
      <c r="E57" s="42">
        <v>60149</v>
      </c>
      <c r="F57" s="41">
        <v>90514</v>
      </c>
      <c r="G57" s="41">
        <f t="shared" si="0"/>
        <v>1086725</v>
      </c>
    </row>
    <row r="58" spans="1:8" x14ac:dyDescent="0.25">
      <c r="B58" s="36" t="s">
        <v>49</v>
      </c>
      <c r="C58" s="41">
        <v>1448834.517186</v>
      </c>
      <c r="D58" s="41">
        <v>317072.74474599998</v>
      </c>
      <c r="E58" s="60">
        <v>94339.933709999998</v>
      </c>
      <c r="F58" s="41">
        <v>160162</v>
      </c>
      <c r="G58" s="13">
        <f t="shared" si="0"/>
        <v>2020409.1956420001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2712</v>
      </c>
      <c r="D66" s="41">
        <v>2028</v>
      </c>
      <c r="E66" s="42">
        <v>1336</v>
      </c>
      <c r="F66" s="42">
        <v>5896</v>
      </c>
      <c r="G66" s="39">
        <f t="shared" si="0"/>
        <v>11972</v>
      </c>
    </row>
    <row r="67" spans="1:8" x14ac:dyDescent="0.25">
      <c r="B67" s="36" t="s">
        <v>46</v>
      </c>
      <c r="C67" s="41">
        <v>1598.884564</v>
      </c>
      <c r="D67" s="41">
        <v>2636.18</v>
      </c>
      <c r="E67" s="42">
        <v>2174.5827020000002</v>
      </c>
      <c r="F67" s="42">
        <v>6868</v>
      </c>
      <c r="G67" s="39">
        <f t="shared" si="0"/>
        <v>13277.647266</v>
      </c>
    </row>
    <row r="68" spans="1:8" x14ac:dyDescent="0.25">
      <c r="B68" s="36" t="s">
        <v>47</v>
      </c>
      <c r="C68" s="41">
        <v>37.3924692251991</v>
      </c>
      <c r="D68" s="41">
        <v>55.574795566494998</v>
      </c>
      <c r="E68" s="42">
        <v>43</v>
      </c>
      <c r="F68" s="41">
        <v>44</v>
      </c>
      <c r="G68" s="39">
        <f>AVERAGE(C68:F68)</f>
        <v>44.991816197923526</v>
      </c>
    </row>
    <row r="69" spans="1:8" x14ac:dyDescent="0.25">
      <c r="B69" s="36" t="s">
        <v>48</v>
      </c>
      <c r="C69" s="41">
        <v>132008</v>
      </c>
      <c r="D69" s="41">
        <v>98759</v>
      </c>
      <c r="E69" s="42">
        <v>60631</v>
      </c>
      <c r="F69" s="15">
        <v>276446</v>
      </c>
      <c r="G69" s="39">
        <f t="shared" si="0"/>
        <v>567844</v>
      </c>
    </row>
    <row r="70" spans="1:8" x14ac:dyDescent="0.25">
      <c r="B70" s="36" t="s">
        <v>49</v>
      </c>
      <c r="C70" s="41">
        <v>97386.931526999993</v>
      </c>
      <c r="D70" s="41">
        <v>82446.511431000006</v>
      </c>
      <c r="E70" s="42">
        <v>46228.885253</v>
      </c>
      <c r="F70" s="9">
        <v>181903</v>
      </c>
      <c r="G70" s="40">
        <f t="shared" si="0"/>
        <v>407965.32821100001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103608</v>
      </c>
      <c r="D72" s="22">
        <f>+D66+D60+D54</f>
        <v>4225</v>
      </c>
      <c r="E72" s="22">
        <f t="shared" ref="E72:E73" si="1">+E66+E60+E54</f>
        <v>2210</v>
      </c>
      <c r="F72" s="22">
        <f>+F54+F66</f>
        <v>7415</v>
      </c>
      <c r="G72" s="22">
        <f>SUM(C72:F72)</f>
        <v>117458</v>
      </c>
    </row>
    <row r="73" spans="1:8" x14ac:dyDescent="0.25">
      <c r="B73" s="21" t="s">
        <v>46</v>
      </c>
      <c r="C73" s="22">
        <v>32865</v>
      </c>
      <c r="D73" s="22">
        <f t="shared" ref="D73:E76" si="2">+D67+D61+D55</f>
        <v>6161.36</v>
      </c>
      <c r="E73" s="22">
        <f t="shared" si="1"/>
        <v>3884.0618530000002</v>
      </c>
      <c r="F73" s="72">
        <f>+F55+F67</f>
        <v>9700</v>
      </c>
      <c r="G73" s="25">
        <f>SUM(C73:F73)</f>
        <v>52610.421853</v>
      </c>
    </row>
    <row r="74" spans="1:8" x14ac:dyDescent="0.25">
      <c r="B74" s="21" t="s">
        <v>47</v>
      </c>
      <c r="C74" s="22">
        <v>8</v>
      </c>
      <c r="D74" s="22">
        <f>(+D56+D62+D68)/3</f>
        <v>31.20711268629405</v>
      </c>
      <c r="E74" s="22">
        <v>38</v>
      </c>
      <c r="F74" s="22">
        <f>(F56+F68)/2</f>
        <v>38</v>
      </c>
      <c r="G74" s="22">
        <f>AVERAGE(C74:F74)</f>
        <v>28.801778171573513</v>
      </c>
    </row>
    <row r="75" spans="1:8" x14ac:dyDescent="0.25">
      <c r="B75" s="21" t="s">
        <v>48</v>
      </c>
      <c r="C75" s="22">
        <v>1135840</v>
      </c>
      <c r="D75" s="22">
        <f t="shared" si="2"/>
        <v>284774</v>
      </c>
      <c r="E75" s="22">
        <f t="shared" si="2"/>
        <v>120780</v>
      </c>
      <c r="F75" s="22">
        <f>+F57+F69</f>
        <v>366960</v>
      </c>
      <c r="G75" s="22">
        <f>SUM(C75:F75)</f>
        <v>1908354</v>
      </c>
    </row>
    <row r="76" spans="1:8" x14ac:dyDescent="0.25">
      <c r="B76" s="21" t="s">
        <v>49</v>
      </c>
      <c r="C76" s="22">
        <v>1546221</v>
      </c>
      <c r="D76" s="22">
        <f>+D70+D64+D58</f>
        <v>399519.256177</v>
      </c>
      <c r="E76" s="22">
        <f t="shared" si="2"/>
        <v>140568.818963</v>
      </c>
      <c r="F76" s="72">
        <f>+F58+F70</f>
        <v>342065</v>
      </c>
      <c r="G76" s="25">
        <f>SUM(C76:F76)</f>
        <v>2428374.0751400003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B80" s="36" t="s">
        <v>45</v>
      </c>
      <c r="C80" s="23">
        <v>0</v>
      </c>
      <c r="D80" s="36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29">
        <v>0</v>
      </c>
      <c r="D81" s="36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29">
        <v>0</v>
      </c>
      <c r="D82" s="36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29">
        <v>1120</v>
      </c>
      <c r="D83" s="29">
        <v>140</v>
      </c>
      <c r="E83" s="51">
        <v>7</v>
      </c>
      <c r="F83" s="29">
        <v>118</v>
      </c>
      <c r="G83" s="29">
        <f>SUM(C83:F83)</f>
        <v>1385</v>
      </c>
    </row>
    <row r="84" spans="2:7" x14ac:dyDescent="0.25">
      <c r="B84" s="36" t="s">
        <v>49</v>
      </c>
      <c r="C84" s="29">
        <v>22154.555916000001</v>
      </c>
      <c r="D84" s="29">
        <v>1611</v>
      </c>
      <c r="E84" s="51">
        <v>87</v>
      </c>
      <c r="F84" s="41">
        <v>2028.090062</v>
      </c>
      <c r="G84" s="13">
        <f>SUM(C84:F84)</f>
        <v>25880.645978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29">
        <v>13</v>
      </c>
      <c r="D95" s="64">
        <v>0</v>
      </c>
      <c r="E95" s="23">
        <v>0</v>
      </c>
      <c r="F95" s="29">
        <v>9</v>
      </c>
      <c r="G95" s="39">
        <f>SUM(C95:F95)</f>
        <v>22</v>
      </c>
    </row>
    <row r="96" spans="2:7" x14ac:dyDescent="0.25">
      <c r="B96" s="36" t="s">
        <v>49</v>
      </c>
      <c r="C96" s="29">
        <v>194.038082</v>
      </c>
      <c r="D96" s="64">
        <v>0</v>
      </c>
      <c r="E96" s="23">
        <v>0</v>
      </c>
      <c r="F96" s="29">
        <v>119.730664</v>
      </c>
      <c r="G96" s="13">
        <f>SUM(C96:F96)</f>
        <v>313.76874600000002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2">
        <v>0</v>
      </c>
      <c r="D98" s="22">
        <v>0</v>
      </c>
      <c r="E98" s="22">
        <v>0</v>
      </c>
      <c r="F98" s="24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22">
        <v>0</v>
      </c>
      <c r="E99" s="22">
        <v>0</v>
      </c>
      <c r="F99" s="24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22">
        <v>0</v>
      </c>
      <c r="E100" s="22">
        <v>0</v>
      </c>
      <c r="F100" s="24">
        <v>0</v>
      </c>
      <c r="G100" s="22">
        <f>AVERAGE(C100:F100)</f>
        <v>0</v>
      </c>
    </row>
    <row r="101" spans="1:8" x14ac:dyDescent="0.25">
      <c r="B101" s="21" t="s">
        <v>48</v>
      </c>
      <c r="C101" s="22">
        <v>1133</v>
      </c>
      <c r="D101" s="22">
        <f t="shared" ref="D101:D102" si="3">+D95+D89+D83</f>
        <v>140</v>
      </c>
      <c r="E101" s="32">
        <v>7</v>
      </c>
      <c r="F101" s="32">
        <v>0</v>
      </c>
      <c r="G101" s="22">
        <f>SUM(C101:F101)</f>
        <v>1280</v>
      </c>
    </row>
    <row r="102" spans="1:8" x14ac:dyDescent="0.25">
      <c r="B102" s="21" t="s">
        <v>49</v>
      </c>
      <c r="C102" s="22">
        <v>22348.593998</v>
      </c>
      <c r="D102" s="22">
        <f t="shared" si="3"/>
        <v>1611</v>
      </c>
      <c r="E102" s="32">
        <v>87</v>
      </c>
      <c r="F102" s="25">
        <v>0</v>
      </c>
      <c r="G102" s="25">
        <f>SUM(C102:F102)</f>
        <v>24046.593998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6">
        <v>1.78314760914759</v>
      </c>
      <c r="D106" s="16">
        <v>2.6577981651376108</v>
      </c>
      <c r="E106" s="45">
        <v>2.5</v>
      </c>
      <c r="F106" s="45">
        <v>2.17</v>
      </c>
      <c r="G106" s="74">
        <f>AVERAGE(C106:F106)</f>
        <v>2.2777364435713001</v>
      </c>
    </row>
    <row r="107" spans="1:8" x14ac:dyDescent="0.25">
      <c r="B107" s="36" t="s">
        <v>58</v>
      </c>
      <c r="C107" s="16">
        <v>1.7958255451713401</v>
      </c>
      <c r="D107" s="16">
        <v>2.5136196319018409</v>
      </c>
      <c r="E107" s="48">
        <v>2.48</v>
      </c>
      <c r="F107" s="45">
        <v>2.17</v>
      </c>
      <c r="G107" s="74">
        <f>AVERAGE(C107:F107)</f>
        <v>2.2398612942682954</v>
      </c>
    </row>
    <row r="108" spans="1:8" x14ac:dyDescent="0.25">
      <c r="B108" s="36" t="s">
        <v>59</v>
      </c>
      <c r="C108" s="16">
        <v>1.6266688185926099</v>
      </c>
      <c r="D108" s="16">
        <v>2.3279279279279308</v>
      </c>
      <c r="E108" s="45">
        <v>2.2200000000000002</v>
      </c>
      <c r="F108" s="45">
        <v>2.17</v>
      </c>
      <c r="G108" s="74">
        <f>AVERAGE(C108:F108)</f>
        <v>2.0861491866301352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1.47</v>
      </c>
      <c r="D110" s="16">
        <v>1.53</v>
      </c>
      <c r="E110" s="45">
        <v>1.53</v>
      </c>
      <c r="F110" s="45">
        <v>1.52</v>
      </c>
      <c r="G110" s="74">
        <f>AVERAGE(C110:F110)</f>
        <v>1.5125000000000002</v>
      </c>
    </row>
    <row r="111" spans="1:8" x14ac:dyDescent="0.25">
      <c r="B111" s="36" t="s">
        <v>58</v>
      </c>
      <c r="C111" s="16">
        <v>1.45</v>
      </c>
      <c r="D111" s="16">
        <v>1.6700000000000004</v>
      </c>
      <c r="E111" s="45">
        <v>1.63</v>
      </c>
      <c r="F111" s="45">
        <v>1.52</v>
      </c>
      <c r="G111" s="74">
        <f>AVERAGE(C111:F111)</f>
        <v>1.5674999999999999</v>
      </c>
    </row>
    <row r="112" spans="1:8" x14ac:dyDescent="0.25">
      <c r="B112" s="36" t="s">
        <v>59</v>
      </c>
      <c r="C112" s="16">
        <v>1.0970980392156799</v>
      </c>
      <c r="D112" s="16">
        <v>1.6420000000000008</v>
      </c>
      <c r="E112" s="45">
        <v>1.57</v>
      </c>
      <c r="F112" s="45">
        <v>1.52</v>
      </c>
      <c r="G112" s="74">
        <f>AVERAGE(C112:F112)</f>
        <v>1.4572745098039204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1.3899999999999899</v>
      </c>
      <c r="D115" s="16">
        <v>1.6969230769230772</v>
      </c>
      <c r="E115" s="48">
        <v>1.38</v>
      </c>
      <c r="F115" s="45">
        <v>1.39</v>
      </c>
      <c r="G115" s="74">
        <f>AVERAGE(C115:F115)</f>
        <v>1.4642307692307666</v>
      </c>
    </row>
    <row r="116" spans="1:9" x14ac:dyDescent="0.25">
      <c r="B116" s="36" t="s">
        <v>58</v>
      </c>
      <c r="C116" s="16">
        <v>1.3890147783251101</v>
      </c>
      <c r="D116" s="16">
        <v>1.6810989010988995</v>
      </c>
      <c r="E116" s="48">
        <v>1.39</v>
      </c>
      <c r="F116" s="45">
        <v>1.49</v>
      </c>
      <c r="G116" s="74">
        <f>AVERAGE(C116:F116)</f>
        <v>1.4875284198560024</v>
      </c>
    </row>
    <row r="117" spans="1:9" x14ac:dyDescent="0.25">
      <c r="B117" s="36" t="s">
        <v>59</v>
      </c>
      <c r="C117" s="16">
        <v>1.3768945868945801</v>
      </c>
      <c r="D117" s="16">
        <v>1.6829285714285456</v>
      </c>
      <c r="E117" s="48">
        <v>1.03</v>
      </c>
      <c r="F117" s="45">
        <v>1.49</v>
      </c>
      <c r="G117" s="74">
        <f>AVERAGE(C117:F117)</f>
        <v>1.3949557895807816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16">
        <v>0</v>
      </c>
      <c r="D119" s="16">
        <v>1.1900000000000002</v>
      </c>
      <c r="E119" s="37">
        <v>0</v>
      </c>
      <c r="F119" s="16">
        <v>1.19</v>
      </c>
      <c r="G119" s="74">
        <f>AVERAGE(C119:F119)</f>
        <v>0.59499999999999997</v>
      </c>
      <c r="I119" s="10"/>
    </row>
    <row r="120" spans="1:9" x14ac:dyDescent="0.25">
      <c r="B120" s="36" t="s">
        <v>58</v>
      </c>
      <c r="C120" s="16">
        <v>0</v>
      </c>
      <c r="D120" s="16">
        <v>1.1900000000000002</v>
      </c>
      <c r="E120" s="37">
        <v>0.96</v>
      </c>
      <c r="F120" s="16">
        <v>1.19</v>
      </c>
      <c r="G120" s="74">
        <f>AVERAGE(C120:F120)</f>
        <v>0.83500000000000008</v>
      </c>
      <c r="I120" s="10"/>
    </row>
    <row r="121" spans="1:9" x14ac:dyDescent="0.25">
      <c r="B121" s="36" t="s">
        <v>59</v>
      </c>
      <c r="C121" s="16">
        <v>0.99</v>
      </c>
      <c r="D121" s="16">
        <v>1.1900000000000002</v>
      </c>
      <c r="E121" s="45">
        <v>0.95</v>
      </c>
      <c r="F121" s="16">
        <v>1.19</v>
      </c>
      <c r="G121" s="74">
        <f>AVERAGE(C121:F121)</f>
        <v>1.08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16">
        <v>0</v>
      </c>
      <c r="D124" s="31">
        <v>0</v>
      </c>
      <c r="E124" s="23">
        <v>0</v>
      </c>
      <c r="F124" s="23">
        <v>0</v>
      </c>
      <c r="G124" s="40">
        <f>AVERAGE(C124:F124)</f>
        <v>0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6">
        <v>1.63877363075869</v>
      </c>
      <c r="D126" s="65">
        <v>2.0072331396279699</v>
      </c>
      <c r="E126" s="52">
        <v>2.0477609999999999</v>
      </c>
      <c r="F126" s="14">
        <v>0</v>
      </c>
      <c r="G126" s="40">
        <f>AVERAGE(C126:F126)</f>
        <v>1.4234419425966651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77"/>
      <c r="G128" s="153"/>
    </row>
    <row r="129" spans="1:9" x14ac:dyDescent="0.25">
      <c r="B129" s="36" t="s">
        <v>68</v>
      </c>
      <c r="C129" s="29">
        <v>326313</v>
      </c>
      <c r="D129" s="41">
        <v>38342</v>
      </c>
      <c r="E129" s="102">
        <v>8651</v>
      </c>
      <c r="F129" s="101">
        <v>1085</v>
      </c>
      <c r="G129" s="79">
        <f>SUM(C129:F129)</f>
        <v>374391</v>
      </c>
    </row>
    <row r="130" spans="1:9" x14ac:dyDescent="0.25">
      <c r="B130" s="36" t="s">
        <v>69</v>
      </c>
      <c r="C130" s="29">
        <v>176645.767956</v>
      </c>
      <c r="D130" s="41">
        <v>419.65623799999997</v>
      </c>
      <c r="E130" s="102">
        <v>1202</v>
      </c>
      <c r="F130" s="101">
        <v>1410.7315269999999</v>
      </c>
      <c r="G130" s="80">
        <f>SUM(C130:F130)</f>
        <v>179678.15572099999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29">
        <v>712216</v>
      </c>
      <c r="D133" s="41">
        <v>216911</v>
      </c>
      <c r="E133" s="81">
        <f>26841+94120</f>
        <v>120961</v>
      </c>
      <c r="F133" s="41">
        <v>358001</v>
      </c>
      <c r="G133" s="39">
        <f>SUM(C133:F133)</f>
        <v>1408089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39">
        <v>0</v>
      </c>
      <c r="D137" s="41">
        <v>7451</v>
      </c>
      <c r="E137" s="39">
        <v>0</v>
      </c>
      <c r="F137" s="41">
        <v>15941</v>
      </c>
      <c r="G137" s="41">
        <f>SUM(C137:F137)</f>
        <v>23392</v>
      </c>
      <c r="H137" s="9"/>
      <c r="I137" s="9"/>
    </row>
    <row r="138" spans="1:9" x14ac:dyDescent="0.25">
      <c r="B138" s="36" t="s">
        <v>75</v>
      </c>
      <c r="C138" s="39">
        <v>0</v>
      </c>
      <c r="D138" s="41">
        <v>18</v>
      </c>
      <c r="E138" s="39">
        <v>0</v>
      </c>
      <c r="F138" s="41">
        <v>196</v>
      </c>
      <c r="G138" s="41">
        <f>SUM(C138:F138)</f>
        <v>214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36">
        <v>693</v>
      </c>
      <c r="D147" s="41">
        <v>2103</v>
      </c>
      <c r="E147" s="63">
        <v>0</v>
      </c>
      <c r="F147" s="1">
        <v>1115</v>
      </c>
      <c r="G147" s="39">
        <f>SUM(C147:F147)</f>
        <v>3911</v>
      </c>
    </row>
    <row r="148" spans="1:8" x14ac:dyDescent="0.25">
      <c r="B148" s="36" t="s">
        <v>82</v>
      </c>
      <c r="C148" s="34">
        <f>14128000/1000000</f>
        <v>14.128</v>
      </c>
      <c r="D148" s="41">
        <v>40.747500000000002</v>
      </c>
      <c r="E148" s="49">
        <v>0</v>
      </c>
      <c r="F148" s="43">
        <v>12.85275</v>
      </c>
      <c r="G148" s="13">
        <f>SUM(C148:F148)</f>
        <v>67.728250000000003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66">
        <v>0</v>
      </c>
      <c r="E151" s="93">
        <v>0</v>
      </c>
      <c r="F151" s="33">
        <v>0</v>
      </c>
      <c r="G151" s="39">
        <f>SUM(C151:F151)</f>
        <v>0</v>
      </c>
      <c r="H151" s="26"/>
    </row>
    <row r="152" spans="1:8" x14ac:dyDescent="0.25">
      <c r="B152" s="36" t="s">
        <v>85</v>
      </c>
      <c r="C152" s="36">
        <v>0</v>
      </c>
      <c r="D152" s="66">
        <v>0</v>
      </c>
      <c r="E152" s="91">
        <f>45000/1000000</f>
        <v>4.4999999999999998E-2</v>
      </c>
      <c r="F152" s="33">
        <v>0</v>
      </c>
      <c r="G152" s="13">
        <f>SUM(C152:F152)</f>
        <v>4.4999999999999998E-2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70</v>
      </c>
      <c r="E155" s="53">
        <v>0</v>
      </c>
      <c r="F155" s="53">
        <v>0</v>
      </c>
      <c r="G155" s="39">
        <f>SUM(C155:F155)</f>
        <v>70</v>
      </c>
      <c r="H155" s="26"/>
    </row>
    <row r="156" spans="1:8" x14ac:dyDescent="0.25">
      <c r="B156" s="36" t="s">
        <v>88</v>
      </c>
      <c r="C156" s="13">
        <v>0</v>
      </c>
      <c r="D156" s="41">
        <v>0.82</v>
      </c>
      <c r="E156" s="49">
        <v>0</v>
      </c>
      <c r="F156" s="53">
        <v>0</v>
      </c>
      <c r="G156" s="13">
        <f>SUM(C156:F156)</f>
        <v>0.82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2">
        <v>693</v>
      </c>
      <c r="D159" s="22">
        <f>D147+D151+D155</f>
        <v>2173</v>
      </c>
      <c r="E159" s="72">
        <f>+E155+E151+E147</f>
        <v>0</v>
      </c>
      <c r="F159" s="22">
        <f>+F147+F155</f>
        <v>1115</v>
      </c>
      <c r="G159" s="22">
        <f>SUM(C159:F159)</f>
        <v>3981</v>
      </c>
    </row>
    <row r="160" spans="1:8" x14ac:dyDescent="0.25">
      <c r="B160" s="21" t="s">
        <v>91</v>
      </c>
      <c r="C160" s="22">
        <f>14128000/1000000</f>
        <v>14.128</v>
      </c>
      <c r="D160" s="22">
        <f>D148+D152+D156</f>
        <v>41.567500000000003</v>
      </c>
      <c r="E160" s="72">
        <f>+E156+E152+E148</f>
        <v>4.4999999999999998E-2</v>
      </c>
      <c r="F160" s="72">
        <f>+F148+F156</f>
        <v>12.85275</v>
      </c>
      <c r="G160" s="25">
        <f>SUM(C160:F160)</f>
        <v>68.593250000000012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41">
        <v>1585</v>
      </c>
      <c r="D163" s="41">
        <v>12128</v>
      </c>
      <c r="E163" s="77">
        <v>1980</v>
      </c>
      <c r="F163" s="41">
        <v>8710</v>
      </c>
      <c r="G163" s="39">
        <f>SUM(C163:F163)</f>
        <v>24403</v>
      </c>
    </row>
    <row r="164" spans="1:8" x14ac:dyDescent="0.25">
      <c r="B164" s="17" t="s">
        <v>88</v>
      </c>
      <c r="C164" s="41">
        <f>53300095/1000000</f>
        <v>53.300094999999999</v>
      </c>
      <c r="D164" s="41">
        <v>34.623696000000002</v>
      </c>
      <c r="E164" s="77">
        <f>23666776/1000000</f>
        <v>23.666775999999999</v>
      </c>
      <c r="F164" s="41">
        <v>50.835312000000002</v>
      </c>
      <c r="G164" s="13">
        <f>SUM(C164:F164)</f>
        <v>162.42587900000001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66"/>
      <c r="G167" s="151"/>
    </row>
    <row r="168" spans="1:8" x14ac:dyDescent="0.25">
      <c r="B168" s="36" t="s">
        <v>95</v>
      </c>
      <c r="C168" s="58">
        <v>160</v>
      </c>
      <c r="D168" s="41">
        <v>1330</v>
      </c>
      <c r="E168" s="78">
        <v>25</v>
      </c>
      <c r="F168" s="75">
        <v>341</v>
      </c>
      <c r="G168" s="79">
        <f>SUM(C168:F168)</f>
        <v>1856</v>
      </c>
    </row>
    <row r="169" spans="1:8" x14ac:dyDescent="0.25">
      <c r="B169" s="36" t="s">
        <v>96</v>
      </c>
      <c r="C169" s="58">
        <f>4000000/1000000</f>
        <v>4</v>
      </c>
      <c r="D169" s="41">
        <v>18.269048000000002</v>
      </c>
      <c r="E169" s="78">
        <f>500000/1000000</f>
        <v>0.5</v>
      </c>
      <c r="F169" s="103">
        <v>12.632</v>
      </c>
      <c r="G169" s="80">
        <f>SUM(C169:F169)</f>
        <v>35.401048000000003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66"/>
      <c r="G171" s="151"/>
    </row>
    <row r="172" spans="1:8" x14ac:dyDescent="0.25">
      <c r="B172" s="36" t="s">
        <v>98</v>
      </c>
      <c r="C172" s="58">
        <v>1571</v>
      </c>
      <c r="D172" s="41">
        <v>530</v>
      </c>
      <c r="E172" s="78">
        <v>125</v>
      </c>
      <c r="F172" s="75">
        <v>280</v>
      </c>
      <c r="G172" s="79">
        <f>SUM(C172:F172)</f>
        <v>2506</v>
      </c>
    </row>
    <row r="173" spans="1:8" x14ac:dyDescent="0.25">
      <c r="B173" s="36" t="s">
        <v>96</v>
      </c>
      <c r="C173" s="58">
        <f>34562000/1000000</f>
        <v>34.561999999999998</v>
      </c>
      <c r="D173" s="41">
        <v>11.067</v>
      </c>
      <c r="E173" s="78">
        <f>3125000/1000000</f>
        <v>3.125</v>
      </c>
      <c r="F173" s="103">
        <v>6.1429999999999998</v>
      </c>
      <c r="G173" s="80">
        <f>SUM(C173:F173)</f>
        <v>54.896999999999998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74" t="s">
        <v>99</v>
      </c>
      <c r="C175" s="175"/>
      <c r="D175" s="175"/>
      <c r="E175" s="175"/>
      <c r="F175" s="178"/>
      <c r="G175" s="176"/>
    </row>
    <row r="176" spans="1:8" x14ac:dyDescent="0.25">
      <c r="B176" s="6" t="s">
        <v>98</v>
      </c>
      <c r="C176" s="68">
        <v>103</v>
      </c>
      <c r="D176" s="41">
        <v>243</v>
      </c>
      <c r="E176" s="78">
        <v>163</v>
      </c>
      <c r="F176" s="75">
        <v>40</v>
      </c>
      <c r="G176" s="104">
        <f>SUM(C176:F176)</f>
        <v>549</v>
      </c>
    </row>
    <row r="177" spans="1:8" x14ac:dyDescent="0.25">
      <c r="B177" s="36" t="s">
        <v>96</v>
      </c>
      <c r="C177" s="68">
        <f>7210000/1000000</f>
        <v>7.21</v>
      </c>
      <c r="D177" s="41">
        <v>19.920000000000002</v>
      </c>
      <c r="E177" s="78">
        <f>9647881/1000000</f>
        <v>9.6478809999999999</v>
      </c>
      <c r="F177" s="103">
        <v>4.16</v>
      </c>
      <c r="G177" s="90">
        <f>SUM(C177:F177)</f>
        <v>40.937881000000004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68">
        <v>241</v>
      </c>
      <c r="D180" s="41">
        <v>26</v>
      </c>
      <c r="E180" s="28">
        <v>0</v>
      </c>
      <c r="F180" s="41">
        <v>0</v>
      </c>
      <c r="G180" s="39">
        <f>SUM(C180:F180)</f>
        <v>267</v>
      </c>
    </row>
    <row r="181" spans="1:8" x14ac:dyDescent="0.25">
      <c r="B181" s="36" t="s">
        <v>96</v>
      </c>
      <c r="C181" s="68">
        <f>7450000/1000000</f>
        <v>7.45</v>
      </c>
      <c r="D181" s="41">
        <v>56.084938999999999</v>
      </c>
      <c r="E181" s="68">
        <v>0</v>
      </c>
      <c r="F181" s="68">
        <v>0</v>
      </c>
      <c r="G181" s="13">
        <f>SUM(C181:F181)</f>
        <v>63.534939000000001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69">
        <v>2075</v>
      </c>
      <c r="D184" s="22">
        <f>D168+D172+D176+D180</f>
        <v>2129</v>
      </c>
      <c r="E184" s="22">
        <f t="shared" ref="E184:E185" si="4">+E180+E176+E172+E168</f>
        <v>313</v>
      </c>
      <c r="F184" s="22">
        <f>+F168+F172+F176+F180</f>
        <v>661</v>
      </c>
      <c r="G184" s="22">
        <f>SUM(C184:F184)</f>
        <v>5178</v>
      </c>
    </row>
    <row r="185" spans="1:8" x14ac:dyDescent="0.25">
      <c r="B185" s="21" t="s">
        <v>103</v>
      </c>
      <c r="C185" s="69">
        <f>53222000/1000000</f>
        <v>53.222000000000001</v>
      </c>
      <c r="D185" s="22">
        <f>D169+D173+D177+D181</f>
        <v>105.34098700000001</v>
      </c>
      <c r="E185" s="22">
        <f t="shared" si="4"/>
        <v>13.272881</v>
      </c>
      <c r="F185" s="22">
        <f>+F169+F173+F177+F181</f>
        <v>22.934999999999999</v>
      </c>
      <c r="G185" s="25">
        <f>SUM(C185:F185)</f>
        <v>194.77086800000004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36">
        <v>224</v>
      </c>
      <c r="D188" s="41">
        <v>1077</v>
      </c>
      <c r="E188" s="84">
        <v>38</v>
      </c>
      <c r="F188" s="84">
        <f>F167+F172+F176+F180+F163</f>
        <v>9030</v>
      </c>
      <c r="G188" s="39">
        <f>SUM(C188:F188)</f>
        <v>10369</v>
      </c>
    </row>
    <row r="189" spans="1:8" x14ac:dyDescent="0.25">
      <c r="B189" s="17" t="s">
        <v>106</v>
      </c>
      <c r="C189" s="34">
        <f>3080096/1000000</f>
        <v>3.0800960000000002</v>
      </c>
      <c r="D189" s="41">
        <v>9.4469130000000003</v>
      </c>
      <c r="E189" s="105">
        <f>1550000/1000000</f>
        <v>1.55</v>
      </c>
      <c r="F189" s="84">
        <f>F168+F173+F177+F181+F164</f>
        <v>402.13831199999998</v>
      </c>
      <c r="G189" s="13">
        <f>SUM(C189:F189)</f>
        <v>416.21532099999996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4582</v>
      </c>
      <c r="D192" s="22">
        <f>+D188+D184+D163+D159</f>
        <v>17507</v>
      </c>
      <c r="E192" s="22">
        <f t="shared" ref="E192:E193" si="5">+E188+E184+E163+E159</f>
        <v>2331</v>
      </c>
      <c r="F192" s="22">
        <f>F159+F163+F184+F188</f>
        <v>19516</v>
      </c>
      <c r="G192" s="22">
        <f>SUM(C192:F192)</f>
        <v>43936</v>
      </c>
    </row>
    <row r="193" spans="2:7" x14ac:dyDescent="0.25">
      <c r="B193" s="21" t="s">
        <v>109</v>
      </c>
      <c r="C193" s="22">
        <f>125005191/1000000</f>
        <v>125.005191</v>
      </c>
      <c r="D193" s="22">
        <f>+D189+D185+D164+D160</f>
        <v>190.979096</v>
      </c>
      <c r="E193" s="22">
        <f t="shared" si="5"/>
        <v>38.534657000000003</v>
      </c>
      <c r="F193" s="22">
        <f>F160+F185+F164+F189</f>
        <v>488.76137399999999</v>
      </c>
      <c r="G193" s="25">
        <f>SUM(C193:F193)</f>
        <v>843.28031799999997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1">
    <mergeCell ref="B187:G187"/>
    <mergeCell ref="B190:H190"/>
    <mergeCell ref="B191:G191"/>
    <mergeCell ref="B175:G175"/>
    <mergeCell ref="B178:H178"/>
    <mergeCell ref="B179:G179"/>
    <mergeCell ref="B182:H182"/>
    <mergeCell ref="B183:G183"/>
    <mergeCell ref="B186:H186"/>
    <mergeCell ref="B174:H174"/>
    <mergeCell ref="B153:H153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50:G150"/>
    <mergeCell ref="B134:H134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32:G132"/>
    <mergeCell ref="B105:G105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04:G104"/>
    <mergeCell ref="B53:G53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52:G52"/>
    <mergeCell ref="B32:G32"/>
    <mergeCell ref="B36:H36"/>
    <mergeCell ref="B37:G37"/>
    <mergeCell ref="B38:G38"/>
    <mergeCell ref="B41:H41"/>
    <mergeCell ref="B42:G42"/>
    <mergeCell ref="B45:H45"/>
    <mergeCell ref="B46:G46"/>
    <mergeCell ref="B49:H49"/>
    <mergeCell ref="B50:G50"/>
    <mergeCell ref="B51:H51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1B602-E3FA-4525-A0E5-1AC15CE796E5}">
  <dimension ref="A1:BD197"/>
  <sheetViews>
    <sheetView topLeftCell="B174" zoomScaleNormal="100" workbookViewId="0">
      <selection activeCell="E189" sqref="E189"/>
    </sheetView>
  </sheetViews>
  <sheetFormatPr baseColWidth="10" defaultColWidth="9.140625" defaultRowHeight="15" x14ac:dyDescent="0.25"/>
  <cols>
    <col min="1" max="1" width="11.425781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111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36">
        <v>56813</v>
      </c>
      <c r="D6" s="41">
        <v>8429</v>
      </c>
      <c r="E6" s="20">
        <v>9671</v>
      </c>
      <c r="F6" s="15">
        <v>10943</v>
      </c>
      <c r="G6" s="15">
        <f>+F6+E6+D6+C6</f>
        <v>85856</v>
      </c>
    </row>
    <row r="7" spans="1:7" x14ac:dyDescent="0.25">
      <c r="B7" s="36" t="s">
        <v>10</v>
      </c>
      <c r="C7" s="67">
        <v>525</v>
      </c>
      <c r="D7" s="41">
        <v>229</v>
      </c>
      <c r="E7" s="20">
        <v>11</v>
      </c>
      <c r="F7" s="15">
        <v>131</v>
      </c>
      <c r="G7" s="15">
        <f>+F7+E7+D7+C7</f>
        <v>896</v>
      </c>
    </row>
    <row r="8" spans="1:7" x14ac:dyDescent="0.25">
      <c r="B8" s="21" t="s">
        <v>11</v>
      </c>
      <c r="C8" s="30">
        <f>SUM(C6:C7)</f>
        <v>57338</v>
      </c>
      <c r="D8" s="30">
        <f>+D6+D7</f>
        <v>8658</v>
      </c>
      <c r="E8" s="30">
        <f>SUM(E6:E7)</f>
        <v>9682</v>
      </c>
      <c r="F8" s="30">
        <f>SUM(F6:F7)</f>
        <v>11074</v>
      </c>
      <c r="G8" s="30">
        <f>+F8+E8+D8+C8</f>
        <v>86752</v>
      </c>
    </row>
    <row r="9" spans="1:7" x14ac:dyDescent="0.25">
      <c r="B9" s="139"/>
      <c r="C9" s="139"/>
      <c r="D9" s="139"/>
      <c r="E9" s="139"/>
      <c r="F9" s="139"/>
      <c r="G9" s="13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956065</v>
      </c>
      <c r="D12" s="41">
        <v>147295</v>
      </c>
      <c r="E12" s="81">
        <v>56162</v>
      </c>
      <c r="F12" s="20">
        <v>0</v>
      </c>
      <c r="G12" s="20">
        <f>SUM(C12:F12)</f>
        <v>1159522</v>
      </c>
    </row>
    <row r="13" spans="1:7" x14ac:dyDescent="0.25">
      <c r="B13" s="19" t="s">
        <v>15</v>
      </c>
      <c r="C13" s="15">
        <v>2065087</v>
      </c>
      <c r="D13" s="41">
        <v>475622</v>
      </c>
      <c r="E13" s="81">
        <v>210785</v>
      </c>
      <c r="F13" s="20">
        <v>0</v>
      </c>
      <c r="G13" s="20">
        <f>SUM(C13:F13)</f>
        <v>2751494</v>
      </c>
    </row>
    <row r="14" spans="1:7" x14ac:dyDescent="0.25">
      <c r="B14" s="21" t="s">
        <v>16</v>
      </c>
      <c r="C14" s="22">
        <f>SUM(C12:C13)</f>
        <v>3021152</v>
      </c>
      <c r="D14" s="22">
        <v>918687</v>
      </c>
      <c r="E14" s="22">
        <f>SUM(E12:E13)</f>
        <v>266947</v>
      </c>
      <c r="F14" s="22">
        <v>369253</v>
      </c>
      <c r="G14" s="22">
        <f>SUM(C14:F14)</f>
        <v>4576039</v>
      </c>
    </row>
    <row r="15" spans="1:7" x14ac:dyDescent="0.25">
      <c r="B15" s="21" t="s">
        <v>17</v>
      </c>
      <c r="C15" s="100">
        <v>400309</v>
      </c>
      <c r="D15" s="22">
        <v>139831</v>
      </c>
      <c r="E15" s="22">
        <v>2750</v>
      </c>
      <c r="F15" s="22">
        <v>82849</v>
      </c>
      <c r="G15" s="22">
        <f>SUM(C15:F15)</f>
        <v>625739</v>
      </c>
    </row>
    <row r="16" spans="1:7" x14ac:dyDescent="0.25">
      <c r="B16" s="21" t="s">
        <v>18</v>
      </c>
      <c r="C16" s="85">
        <f>C15+C14</f>
        <v>3421461</v>
      </c>
      <c r="D16" s="22">
        <f>+D14+D15</f>
        <v>1058518</v>
      </c>
      <c r="E16" s="22">
        <f>SUM(E14:E15)</f>
        <v>269697</v>
      </c>
      <c r="F16" s="22">
        <f>SUM(F12:F15)</f>
        <v>452102</v>
      </c>
      <c r="G16" s="22">
        <f>SUM(C16:F16)</f>
        <v>5201778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41">
        <v>3878</v>
      </c>
      <c r="D19" s="41">
        <v>2603</v>
      </c>
      <c r="E19" s="28">
        <v>0</v>
      </c>
      <c r="F19" s="28">
        <v>0</v>
      </c>
      <c r="G19" s="76">
        <f>SUM(C19:F19)</f>
        <v>6481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85">
        <f>+C19+C16</f>
        <v>3425339</v>
      </c>
      <c r="D21" s="69">
        <v>1061121</v>
      </c>
      <c r="E21" s="22">
        <f>+E19+E16</f>
        <v>269697</v>
      </c>
      <c r="F21" s="22">
        <f>F16</f>
        <v>452102</v>
      </c>
      <c r="G21" s="22">
        <f>SUM(C21:F21)</f>
        <v>5208259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69">
        <v>417289</v>
      </c>
      <c r="D24" s="69">
        <v>235103</v>
      </c>
      <c r="E24" s="22">
        <v>138039</v>
      </c>
      <c r="F24" s="22">
        <v>663769</v>
      </c>
      <c r="G24" s="69">
        <f>SUM(C24:F24)</f>
        <v>1454200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85">
        <f>+C24+C21</f>
        <v>3842628</v>
      </c>
      <c r="D27" s="22">
        <f>+D24+D21</f>
        <v>1296224</v>
      </c>
      <c r="E27" s="22">
        <f>+E21+E24</f>
        <v>407736</v>
      </c>
      <c r="F27" s="22">
        <f>+F24+F21</f>
        <v>1115871</v>
      </c>
      <c r="G27" s="22">
        <f>SUM(C27:F27)</f>
        <v>6662459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71" t="s">
        <v>26</v>
      </c>
      <c r="C29" s="172"/>
      <c r="D29" s="172"/>
      <c r="E29" s="172"/>
      <c r="F29" s="172"/>
      <c r="G29" s="173"/>
    </row>
    <row r="30" spans="2:8" x14ac:dyDescent="0.25">
      <c r="B30" s="6" t="s">
        <v>27</v>
      </c>
      <c r="C30" s="41">
        <v>1386167</v>
      </c>
      <c r="D30" s="41">
        <v>239941</v>
      </c>
      <c r="E30" s="81">
        <v>107421</v>
      </c>
      <c r="F30" s="41">
        <v>230081</v>
      </c>
      <c r="G30" s="88">
        <f>SUM(C30:F30)</f>
        <v>1963610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2579875693587</v>
      </c>
      <c r="D33" s="41">
        <v>466163357857</v>
      </c>
      <c r="E33" s="81">
        <v>196872584425</v>
      </c>
      <c r="F33" s="41">
        <v>310076122608</v>
      </c>
      <c r="G33" s="41">
        <f>SUM(C33:F33)</f>
        <v>3552987758477</v>
      </c>
    </row>
    <row r="34" spans="1:9" x14ac:dyDescent="0.25">
      <c r="B34" s="36" t="s">
        <v>30</v>
      </c>
      <c r="C34" s="41">
        <v>123700391484</v>
      </c>
      <c r="D34" s="41">
        <f>212625.0307547*D24</f>
        <v>49988782605.52224</v>
      </c>
      <c r="E34" s="81">
        <v>29408785800</v>
      </c>
      <c r="F34" s="41">
        <v>120260563475</v>
      </c>
      <c r="G34" s="41">
        <f>SUM(C34:F34)</f>
        <v>323358523364.52222</v>
      </c>
    </row>
    <row r="35" spans="1:9" x14ac:dyDescent="0.25">
      <c r="B35" s="21" t="s">
        <v>31</v>
      </c>
      <c r="C35" s="22">
        <f>SUM(C33:C34)</f>
        <v>2703576085071</v>
      </c>
      <c r="D35" s="22">
        <f>+D34+D33</f>
        <v>516152140462.52222</v>
      </c>
      <c r="E35" s="22">
        <f>+E33+E34</f>
        <v>226281370225</v>
      </c>
      <c r="F35" s="22">
        <f>SUM(F33:F34)</f>
        <v>430336686083</v>
      </c>
      <c r="G35" s="22">
        <f>SUM(C35:F35)</f>
        <v>3876346281841.5225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616054</v>
      </c>
      <c r="D39" s="41">
        <v>155456</v>
      </c>
      <c r="E39" s="81">
        <v>42947</v>
      </c>
      <c r="F39" s="41">
        <v>72636</v>
      </c>
      <c r="G39" s="39">
        <f>SUM(C39:F39)</f>
        <v>887093</v>
      </c>
      <c r="H39" s="9"/>
      <c r="I39" s="9"/>
    </row>
    <row r="40" spans="1:9" x14ac:dyDescent="0.25">
      <c r="B40" s="36" t="s">
        <v>35</v>
      </c>
      <c r="C40" s="41">
        <f>2372594859/1000000</f>
        <v>2372.5948589999998</v>
      </c>
      <c r="D40" s="34">
        <v>911.16337399999998</v>
      </c>
      <c r="E40" s="81">
        <v>401</v>
      </c>
      <c r="F40" s="15">
        <v>436.10739999999998</v>
      </c>
      <c r="G40" s="13">
        <f>SUM(C40:F40)</f>
        <v>4120.8656329999994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36" t="s">
        <v>37</v>
      </c>
      <c r="C43" s="41">
        <v>45</v>
      </c>
      <c r="D43" s="41">
        <v>25</v>
      </c>
      <c r="E43" s="81">
        <v>22</v>
      </c>
      <c r="F43" s="81">
        <v>8</v>
      </c>
      <c r="G43" s="39">
        <f>SUM(C43:F43)</f>
        <v>100</v>
      </c>
      <c r="H43" s="9"/>
      <c r="I43" s="9"/>
    </row>
    <row r="44" spans="1:9" x14ac:dyDescent="0.25">
      <c r="B44" s="36" t="s">
        <v>38</v>
      </c>
      <c r="C44" s="41">
        <f>4937904/1000000</f>
        <v>4.9379039999999996</v>
      </c>
      <c r="D44" s="34">
        <v>0.410443</v>
      </c>
      <c r="E44" s="81">
        <v>0.2</v>
      </c>
      <c r="F44" s="96">
        <v>0</v>
      </c>
      <c r="G44" s="13">
        <f>SUM(C44:F44)</f>
        <v>5.5483469999999997</v>
      </c>
      <c r="H44" s="9"/>
      <c r="I44" s="9"/>
    </row>
    <row r="45" spans="1:9" x14ac:dyDescent="0.25">
      <c r="A45" s="4"/>
      <c r="B45" s="139"/>
      <c r="C45" s="139"/>
      <c r="D45" s="139"/>
      <c r="E45" s="139"/>
      <c r="F45" s="139"/>
      <c r="G45" s="139"/>
      <c r="H45" s="139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77990</v>
      </c>
      <c r="D47" s="41">
        <v>59021</v>
      </c>
      <c r="E47" s="83">
        <v>11143</v>
      </c>
      <c r="F47" s="41">
        <v>57735</v>
      </c>
      <c r="G47" s="41">
        <f>SUM(C47:F47)</f>
        <v>205889</v>
      </c>
      <c r="H47" s="9"/>
      <c r="I47" s="9"/>
    </row>
    <row r="48" spans="1:9" x14ac:dyDescent="0.25">
      <c r="B48" s="36" t="s">
        <v>41</v>
      </c>
      <c r="C48" s="41">
        <f>(43037248958+1021311988)/1000000</f>
        <v>44058.560945999998</v>
      </c>
      <c r="D48" s="41">
        <v>17517.442306000001</v>
      </c>
      <c r="E48" s="83">
        <f>6383859503/1000000</f>
        <v>6383.8595029999997</v>
      </c>
      <c r="F48" s="15">
        <v>6808.8098769999997</v>
      </c>
      <c r="G48" s="13">
        <f>SUM(C48:F48)</f>
        <v>74768.672632000002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111551</v>
      </c>
      <c r="D54" s="41">
        <v>2771</v>
      </c>
      <c r="E54" s="42">
        <v>914</v>
      </c>
      <c r="F54" s="41">
        <v>1636</v>
      </c>
      <c r="G54" s="41">
        <f t="shared" ref="G54:G70" si="0">SUM(C54:F54)</f>
        <v>116872</v>
      </c>
    </row>
    <row r="55" spans="1:8" x14ac:dyDescent="0.25">
      <c r="B55" s="36" t="s">
        <v>46</v>
      </c>
      <c r="C55" s="41">
        <v>36426.364154000003</v>
      </c>
      <c r="D55" s="41">
        <v>4702.3190000000004</v>
      </c>
      <c r="E55" s="42">
        <v>1871.1128470000001</v>
      </c>
      <c r="F55" s="42">
        <v>3215</v>
      </c>
      <c r="G55" s="41">
        <f t="shared" si="0"/>
        <v>46214.796001000002</v>
      </c>
    </row>
    <row r="56" spans="1:8" x14ac:dyDescent="0.25">
      <c r="B56" s="36" t="s">
        <v>47</v>
      </c>
      <c r="C56" s="41">
        <v>8.2120913304228598</v>
      </c>
      <c r="D56" s="41">
        <v>39.186442440303956</v>
      </c>
      <c r="E56" s="59">
        <v>29</v>
      </c>
      <c r="F56" s="41">
        <v>33</v>
      </c>
      <c r="G56" s="41">
        <f>AVERAGE(C56:F56)</f>
        <v>27.349633442681704</v>
      </c>
    </row>
    <row r="57" spans="1:8" x14ac:dyDescent="0.25">
      <c r="B57" s="36" t="s">
        <v>48</v>
      </c>
      <c r="C57" s="41">
        <v>724747</v>
      </c>
      <c r="D57" s="41">
        <v>183095</v>
      </c>
      <c r="E57" s="42">
        <v>59098</v>
      </c>
      <c r="F57" s="41">
        <v>89102</v>
      </c>
      <c r="G57" s="41">
        <f t="shared" si="0"/>
        <v>1056042</v>
      </c>
    </row>
    <row r="58" spans="1:8" x14ac:dyDescent="0.25">
      <c r="B58" s="36" t="s">
        <v>49</v>
      </c>
      <c r="C58" s="41">
        <v>1405190.3726679999</v>
      </c>
      <c r="D58" s="41">
        <v>313282.71699599997</v>
      </c>
      <c r="E58" s="60">
        <v>92955.570231000005</v>
      </c>
      <c r="F58" s="41">
        <v>156631</v>
      </c>
      <c r="G58" s="13">
        <f t="shared" si="0"/>
        <v>1968059.6598949998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3182</v>
      </c>
      <c r="D66" s="41">
        <v>2525</v>
      </c>
      <c r="E66" s="42">
        <v>1046</v>
      </c>
      <c r="F66" s="42">
        <v>5218</v>
      </c>
      <c r="G66" s="39">
        <f t="shared" si="0"/>
        <v>11971</v>
      </c>
    </row>
    <row r="67" spans="1:8" x14ac:dyDescent="0.25">
      <c r="B67" s="36" t="s">
        <v>46</v>
      </c>
      <c r="C67" s="41">
        <v>1879.4035280000001</v>
      </c>
      <c r="D67" s="41">
        <v>3436</v>
      </c>
      <c r="E67" s="42">
        <v>1519.0434700000001</v>
      </c>
      <c r="F67" s="42">
        <v>4977</v>
      </c>
      <c r="G67" s="39">
        <f t="shared" si="0"/>
        <v>11811.446997999999</v>
      </c>
    </row>
    <row r="68" spans="1:8" x14ac:dyDescent="0.25">
      <c r="B68" s="36" t="s">
        <v>47</v>
      </c>
      <c r="C68" s="41">
        <v>36.535512256442502</v>
      </c>
      <c r="D68" s="41">
        <v>55.994638333814592</v>
      </c>
      <c r="E68" s="42">
        <v>42</v>
      </c>
      <c r="F68" s="41">
        <v>43</v>
      </c>
      <c r="G68" s="39">
        <f>AVERAGE(C68:F68)</f>
        <v>44.382537647564277</v>
      </c>
    </row>
    <row r="69" spans="1:8" x14ac:dyDescent="0.25">
      <c r="B69" s="36" t="s">
        <v>48</v>
      </c>
      <c r="C69" s="41">
        <v>130109</v>
      </c>
      <c r="D69" s="41">
        <v>98883</v>
      </c>
      <c r="E69" s="42">
        <v>60219</v>
      </c>
      <c r="F69" s="15">
        <v>273004</v>
      </c>
      <c r="G69" s="39">
        <f t="shared" si="0"/>
        <v>562215</v>
      </c>
    </row>
    <row r="70" spans="1:8" x14ac:dyDescent="0.25">
      <c r="B70" s="36" t="s">
        <v>49</v>
      </c>
      <c r="C70" s="41">
        <v>95338.253612</v>
      </c>
      <c r="D70" s="41">
        <v>82254.339730000007</v>
      </c>
      <c r="E70" s="42">
        <v>45834.884431999999</v>
      </c>
      <c r="F70" s="9">
        <v>180090</v>
      </c>
      <c r="G70" s="40">
        <f t="shared" si="0"/>
        <v>403517.47777400003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114733</v>
      </c>
      <c r="D72" s="22">
        <f>+D66+D60+D54</f>
        <v>5296</v>
      </c>
      <c r="E72" s="22">
        <f t="shared" ref="E72:E73" si="1">+E66+E60+E54</f>
        <v>1960</v>
      </c>
      <c r="F72" s="22">
        <f>+F54+F66</f>
        <v>6854</v>
      </c>
      <c r="G72" s="22">
        <f>SUM(C72:F72)</f>
        <v>128843</v>
      </c>
    </row>
    <row r="73" spans="1:8" x14ac:dyDescent="0.25">
      <c r="B73" s="21" t="s">
        <v>46</v>
      </c>
      <c r="C73" s="22">
        <f>C67+C55</f>
        <v>38305.767682000005</v>
      </c>
      <c r="D73" s="22">
        <f t="shared" ref="D73:D75" si="2">+D67+D61+D55</f>
        <v>8138.3190000000004</v>
      </c>
      <c r="E73" s="22">
        <f t="shared" si="1"/>
        <v>3390.1563169999999</v>
      </c>
      <c r="F73" s="72">
        <f>+F55+F67</f>
        <v>8192</v>
      </c>
      <c r="G73" s="25">
        <f>SUM(C73:F73)</f>
        <v>58026.242999000009</v>
      </c>
    </row>
    <row r="74" spans="1:8" x14ac:dyDescent="0.25">
      <c r="B74" s="21" t="s">
        <v>47</v>
      </c>
      <c r="C74" s="22">
        <v>8.9976118466352304</v>
      </c>
      <c r="D74" s="22">
        <f>(+D56+D62+D68)/3</f>
        <v>31.727026924706184</v>
      </c>
      <c r="E74" s="22">
        <v>38</v>
      </c>
      <c r="F74" s="22">
        <f>(F56+F68)/2</f>
        <v>38</v>
      </c>
      <c r="G74" s="22">
        <f>AVERAGE(C74:F74)</f>
        <v>29.181159692835354</v>
      </c>
    </row>
    <row r="75" spans="1:8" x14ac:dyDescent="0.25">
      <c r="B75" s="21" t="s">
        <v>48</v>
      </c>
      <c r="C75" s="22">
        <v>1092793</v>
      </c>
      <c r="D75" s="22">
        <f t="shared" si="2"/>
        <v>281978</v>
      </c>
      <c r="E75" s="22">
        <f t="shared" ref="E75:E76" si="3">+E69+E63+E57</f>
        <v>119317</v>
      </c>
      <c r="F75" s="22">
        <f>+F57+F69</f>
        <v>362106</v>
      </c>
      <c r="G75" s="22">
        <f>SUM(C75:F75)</f>
        <v>1856194</v>
      </c>
    </row>
    <row r="76" spans="1:8" x14ac:dyDescent="0.25">
      <c r="B76" s="21" t="s">
        <v>49</v>
      </c>
      <c r="C76" s="22">
        <v>1511873.7391520001</v>
      </c>
      <c r="D76" s="22">
        <f>+D70+D64+D58</f>
        <v>395537.05672599998</v>
      </c>
      <c r="E76" s="22">
        <f t="shared" si="3"/>
        <v>138790.45466300001</v>
      </c>
      <c r="F76" s="72">
        <f>+F58+F70</f>
        <v>336721</v>
      </c>
      <c r="G76" s="25">
        <f>SUM(C76:F76)</f>
        <v>2382922.2505410002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B80" s="36" t="s">
        <v>45</v>
      </c>
      <c r="C80" s="29">
        <v>1</v>
      </c>
      <c r="D80" s="36">
        <v>0</v>
      </c>
      <c r="E80" s="36">
        <v>0</v>
      </c>
      <c r="F80" s="23">
        <v>0</v>
      </c>
      <c r="G80" s="23">
        <f>SUM(C80:F80)</f>
        <v>1</v>
      </c>
    </row>
    <row r="81" spans="2:7" x14ac:dyDescent="0.25">
      <c r="B81" s="36" t="s">
        <v>46</v>
      </c>
      <c r="C81" s="29">
        <v>23.445277999999998</v>
      </c>
      <c r="D81" s="36">
        <v>0</v>
      </c>
      <c r="E81" s="36">
        <v>0</v>
      </c>
      <c r="F81" s="29">
        <v>0</v>
      </c>
      <c r="G81" s="29">
        <f>SUM(C81:F81)</f>
        <v>23.445277999999998</v>
      </c>
    </row>
    <row r="82" spans="2:7" x14ac:dyDescent="0.25">
      <c r="B82" s="36" t="s">
        <v>47</v>
      </c>
      <c r="C82" s="29">
        <v>300</v>
      </c>
      <c r="D82" s="36">
        <v>0</v>
      </c>
      <c r="E82" s="36">
        <v>0</v>
      </c>
      <c r="F82" s="29">
        <v>0</v>
      </c>
      <c r="G82" s="29">
        <f>AVERAGE(C82:F82)</f>
        <v>75</v>
      </c>
    </row>
    <row r="83" spans="2:7" x14ac:dyDescent="0.25">
      <c r="B83" s="36" t="s">
        <v>48</v>
      </c>
      <c r="C83" s="29">
        <v>1119</v>
      </c>
      <c r="D83" s="36">
        <v>140</v>
      </c>
      <c r="E83" s="51">
        <v>7</v>
      </c>
      <c r="F83" s="29">
        <v>118</v>
      </c>
      <c r="G83" s="29">
        <f>SUM(C83:F83)</f>
        <v>1384</v>
      </c>
    </row>
    <row r="84" spans="2:7" x14ac:dyDescent="0.25">
      <c r="B84" s="36" t="s">
        <v>49</v>
      </c>
      <c r="C84" s="58">
        <v>22066.655880999999</v>
      </c>
      <c r="D84" s="58">
        <v>1602</v>
      </c>
      <c r="E84" s="51">
        <v>87</v>
      </c>
      <c r="F84" s="41">
        <v>2028.090062</v>
      </c>
      <c r="G84" s="13">
        <f>SUM(C84:F84)</f>
        <v>25783.745942999998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29">
        <v>13</v>
      </c>
      <c r="D95" s="64">
        <v>0</v>
      </c>
      <c r="E95" s="23">
        <v>0</v>
      </c>
      <c r="F95" s="29">
        <v>8</v>
      </c>
      <c r="G95" s="39">
        <f>SUM(C95:F95)</f>
        <v>21</v>
      </c>
    </row>
    <row r="96" spans="2:7" x14ac:dyDescent="0.25">
      <c r="B96" s="36" t="s">
        <v>49</v>
      </c>
      <c r="C96" s="29">
        <v>192.840148</v>
      </c>
      <c r="D96" s="64">
        <v>0</v>
      </c>
      <c r="E96" s="23">
        <v>0</v>
      </c>
      <c r="F96" s="29">
        <v>115.208792</v>
      </c>
      <c r="G96" s="13">
        <f>SUM(C96:F96)</f>
        <v>308.04894000000002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1">
        <v>1</v>
      </c>
      <c r="D98" s="22">
        <v>0</v>
      </c>
      <c r="E98" s="22">
        <v>0</v>
      </c>
      <c r="F98" s="24">
        <v>0</v>
      </c>
      <c r="G98" s="22">
        <f>SUM(C98:F98)</f>
        <v>1</v>
      </c>
    </row>
    <row r="99" spans="1:8" x14ac:dyDescent="0.25">
      <c r="B99" s="21" t="s">
        <v>46</v>
      </c>
      <c r="C99" s="22">
        <v>23.445277999999998</v>
      </c>
      <c r="D99" s="22">
        <v>0</v>
      </c>
      <c r="E99" s="22">
        <v>0</v>
      </c>
      <c r="F99" s="24">
        <v>0</v>
      </c>
      <c r="G99" s="25">
        <f>SUM(C99:F99)</f>
        <v>23.445277999999998</v>
      </c>
    </row>
    <row r="100" spans="1:8" x14ac:dyDescent="0.25">
      <c r="B100" s="21" t="s">
        <v>47</v>
      </c>
      <c r="C100" s="22">
        <v>300</v>
      </c>
      <c r="D100" s="22">
        <v>0</v>
      </c>
      <c r="E100" s="22">
        <v>0</v>
      </c>
      <c r="F100" s="24">
        <v>0</v>
      </c>
      <c r="G100" s="22">
        <f>AVERAGE(C100:F100)</f>
        <v>75</v>
      </c>
    </row>
    <row r="101" spans="1:8" x14ac:dyDescent="0.25">
      <c r="B101" s="21" t="s">
        <v>48</v>
      </c>
      <c r="C101" s="69">
        <v>1132</v>
      </c>
      <c r="D101" s="69">
        <f t="shared" ref="D101:D102" si="4">+D95+D89+D83</f>
        <v>140</v>
      </c>
      <c r="E101" s="32">
        <v>7</v>
      </c>
      <c r="F101" s="32">
        <v>0</v>
      </c>
      <c r="G101" s="22">
        <f>SUM(C101:F101)</f>
        <v>1279</v>
      </c>
    </row>
    <row r="102" spans="1:8" x14ac:dyDescent="0.25">
      <c r="B102" s="21" t="s">
        <v>49</v>
      </c>
      <c r="C102" s="69">
        <v>22259.496029000002</v>
      </c>
      <c r="D102" s="69">
        <f t="shared" si="4"/>
        <v>1602</v>
      </c>
      <c r="E102" s="32">
        <v>87</v>
      </c>
      <c r="F102" s="25">
        <v>0</v>
      </c>
      <c r="G102" s="25">
        <f>SUM(C102:F102)</f>
        <v>23948.496029000002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12">
        <v>1.7828755641521601</v>
      </c>
      <c r="D106" s="16">
        <v>2.6033802816901344</v>
      </c>
      <c r="E106" s="45">
        <v>2.4500000000000002</v>
      </c>
      <c r="F106" s="16">
        <v>2.19</v>
      </c>
      <c r="G106" s="74">
        <f>AVERAGE(C106:F106)</f>
        <v>2.2565639614605737</v>
      </c>
    </row>
    <row r="107" spans="1:8" x14ac:dyDescent="0.25">
      <c r="B107" s="36" t="s">
        <v>58</v>
      </c>
      <c r="C107" s="112">
        <v>1.8014492753623199</v>
      </c>
      <c r="D107" s="16">
        <v>2.4327464788732391</v>
      </c>
      <c r="E107" s="48">
        <v>2.42</v>
      </c>
      <c r="F107" s="16">
        <v>2.19</v>
      </c>
      <c r="G107" s="74">
        <f>AVERAGE(C107:F107)</f>
        <v>2.2110489385588896</v>
      </c>
    </row>
    <row r="108" spans="1:8" x14ac:dyDescent="0.25">
      <c r="B108" s="36" t="s">
        <v>59</v>
      </c>
      <c r="C108" s="113">
        <v>1.62323328785808</v>
      </c>
      <c r="D108" s="16">
        <v>2.2683333333333326</v>
      </c>
      <c r="E108" s="45">
        <v>2.17</v>
      </c>
      <c r="F108" s="16">
        <v>2.19</v>
      </c>
      <c r="G108" s="74">
        <f>AVERAGE(C108:F108)</f>
        <v>2.0628916552978529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1.47</v>
      </c>
      <c r="D110" s="16">
        <v>1.6125</v>
      </c>
      <c r="E110" s="45">
        <v>1.6</v>
      </c>
      <c r="F110" s="16">
        <v>1.5862790697674425</v>
      </c>
      <c r="G110" s="74">
        <f>AVERAGE(C110:F110)</f>
        <v>1.5671947674418607</v>
      </c>
    </row>
    <row r="111" spans="1:8" x14ac:dyDescent="0.25">
      <c r="B111" s="36" t="s">
        <v>58</v>
      </c>
      <c r="C111" s="16">
        <v>1.45</v>
      </c>
      <c r="D111" s="16">
        <v>1.5457142857142856</v>
      </c>
      <c r="E111" s="45">
        <v>1.56</v>
      </c>
      <c r="F111" s="16">
        <v>1.5862790697674425</v>
      </c>
      <c r="G111" s="74">
        <f>AVERAGE(C111:F111)</f>
        <v>1.5354983388704322</v>
      </c>
    </row>
    <row r="112" spans="1:8" x14ac:dyDescent="0.25">
      <c r="B112" s="36" t="s">
        <v>59</v>
      </c>
      <c r="C112" s="16">
        <v>1.0970040485829899</v>
      </c>
      <c r="D112" s="16">
        <v>1.5862790697674425</v>
      </c>
      <c r="E112" s="45">
        <v>1.55</v>
      </c>
      <c r="F112" s="16">
        <v>1.5862790697674425</v>
      </c>
      <c r="G112" s="74">
        <f>AVERAGE(C112:F112)</f>
        <v>1.4548905470294689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1.3899999999999899</v>
      </c>
      <c r="D115" s="16">
        <v>1.6320833333333342</v>
      </c>
      <c r="E115" s="48">
        <v>1.51</v>
      </c>
      <c r="F115" s="16">
        <v>1.5862790697674425</v>
      </c>
      <c r="G115" s="74">
        <f>AVERAGE(C115:F115)</f>
        <v>1.5295906007751916</v>
      </c>
    </row>
    <row r="116" spans="1:9" x14ac:dyDescent="0.25">
      <c r="B116" s="36" t="s">
        <v>58</v>
      </c>
      <c r="C116" s="16">
        <v>1.3899999999999899</v>
      </c>
      <c r="D116" s="16">
        <v>1.6349999999999991</v>
      </c>
      <c r="E116" s="48">
        <v>1.47</v>
      </c>
      <c r="F116" s="16">
        <v>1.5862790697674425</v>
      </c>
      <c r="G116" s="74">
        <f>AVERAGE(C116:F116)</f>
        <v>1.5203197674418578</v>
      </c>
    </row>
    <row r="117" spans="1:9" x14ac:dyDescent="0.25">
      <c r="B117" s="36" t="s">
        <v>59</v>
      </c>
      <c r="C117" s="16">
        <v>1.37015267175572</v>
      </c>
      <c r="D117" s="16">
        <v>1.6371369636963677</v>
      </c>
      <c r="E117" s="48">
        <v>1.49</v>
      </c>
      <c r="F117" s="16">
        <v>1.5862790697674425</v>
      </c>
      <c r="G117" s="74">
        <f>AVERAGE(C117:F117)</f>
        <v>1.5208921763048826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16">
        <v>0</v>
      </c>
      <c r="D119" s="16">
        <v>1.1900000000000004</v>
      </c>
      <c r="E119" s="37">
        <v>0</v>
      </c>
      <c r="F119" s="109">
        <v>0.99</v>
      </c>
      <c r="G119" s="74">
        <f>AVERAGE(C119:F119)</f>
        <v>0.54500000000000015</v>
      </c>
      <c r="I119" s="10"/>
    </row>
    <row r="120" spans="1:9" x14ac:dyDescent="0.25">
      <c r="B120" s="36" t="s">
        <v>58</v>
      </c>
      <c r="C120" s="16">
        <v>0</v>
      </c>
      <c r="D120" s="16">
        <v>1.1900000000000004</v>
      </c>
      <c r="E120" s="37">
        <v>0</v>
      </c>
      <c r="F120" s="109">
        <v>1.39</v>
      </c>
      <c r="G120" s="74">
        <f>AVERAGE(C120:F120)</f>
        <v>0.64500000000000002</v>
      </c>
      <c r="I120" s="10"/>
    </row>
    <row r="121" spans="1:9" x14ac:dyDescent="0.25">
      <c r="B121" s="36" t="s">
        <v>59</v>
      </c>
      <c r="C121" s="16">
        <v>0.99</v>
      </c>
      <c r="D121" s="16">
        <v>1.1900000000000004</v>
      </c>
      <c r="E121" s="45">
        <v>1.18</v>
      </c>
      <c r="F121" s="109">
        <v>1.39</v>
      </c>
      <c r="G121" s="74">
        <f>AVERAGE(C121:F121)</f>
        <v>1.1875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16">
        <v>4.32</v>
      </c>
      <c r="D124" s="31">
        <v>0</v>
      </c>
      <c r="E124" s="23">
        <v>0</v>
      </c>
      <c r="F124" s="23">
        <v>0</v>
      </c>
      <c r="G124" s="40">
        <f>AVERAGE(C124:F124)</f>
        <v>1.08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6">
        <v>1.7211748541166301</v>
      </c>
      <c r="D126" s="65">
        <v>1.9999327849361599</v>
      </c>
      <c r="E126" s="52">
        <v>2.0403880000000001</v>
      </c>
      <c r="F126" s="14">
        <v>0</v>
      </c>
      <c r="G126" s="40">
        <f>AVERAGE(C126:F126)</f>
        <v>1.4403739097631976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77"/>
      <c r="G128" s="153"/>
    </row>
    <row r="129" spans="1:9" x14ac:dyDescent="0.25">
      <c r="B129" s="36" t="s">
        <v>68</v>
      </c>
      <c r="C129" s="58">
        <v>321817</v>
      </c>
      <c r="D129" s="41">
        <v>37580</v>
      </c>
      <c r="E129" s="102">
        <v>8647</v>
      </c>
      <c r="F129" s="101">
        <v>1085</v>
      </c>
      <c r="G129" s="79">
        <f>SUM(C129:F129)</f>
        <v>369129</v>
      </c>
    </row>
    <row r="130" spans="1:9" x14ac:dyDescent="0.25">
      <c r="B130" s="36" t="s">
        <v>69</v>
      </c>
      <c r="C130" s="58">
        <v>178062.07040900001</v>
      </c>
      <c r="D130" s="41">
        <v>420.25496190000001</v>
      </c>
      <c r="E130" s="102">
        <v>1218</v>
      </c>
      <c r="F130" s="101">
        <v>1416.9097859999999</v>
      </c>
      <c r="G130" s="80">
        <f>SUM(C130:F130)</f>
        <v>181117.23515690002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41">
        <v>702943</v>
      </c>
      <c r="D133" s="41">
        <v>208779</v>
      </c>
      <c r="E133" s="81">
        <f>22699+105425</f>
        <v>128124</v>
      </c>
      <c r="F133" s="41">
        <v>353082</v>
      </c>
      <c r="G133" s="39">
        <f>SUM(C133:F133)</f>
        <v>1392928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39">
        <v>0</v>
      </c>
      <c r="D137" s="41">
        <v>6720</v>
      </c>
      <c r="E137" s="39">
        <v>0</v>
      </c>
      <c r="F137" s="41">
        <v>16026</v>
      </c>
      <c r="G137" s="41">
        <f>SUM(C137:F137)</f>
        <v>22746</v>
      </c>
      <c r="H137" s="9"/>
      <c r="I137" s="9"/>
    </row>
    <row r="138" spans="1:9" x14ac:dyDescent="0.25">
      <c r="B138" s="36" t="s">
        <v>75</v>
      </c>
      <c r="C138" s="39">
        <v>0</v>
      </c>
      <c r="D138" s="41">
        <v>11</v>
      </c>
      <c r="E138" s="39">
        <v>0</v>
      </c>
      <c r="F138" s="41">
        <v>175</v>
      </c>
      <c r="G138" s="41">
        <f>SUM(C138:F138)</f>
        <v>186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36">
        <v>331</v>
      </c>
      <c r="D147" s="41">
        <v>1158</v>
      </c>
      <c r="E147" s="63">
        <v>0</v>
      </c>
      <c r="F147" s="1">
        <v>832</v>
      </c>
      <c r="G147" s="39">
        <f>SUM(C147:F147)</f>
        <v>2321</v>
      </c>
    </row>
    <row r="148" spans="1:8" x14ac:dyDescent="0.25">
      <c r="B148" s="36" t="s">
        <v>82</v>
      </c>
      <c r="C148" s="56">
        <f>6773000/1000000</f>
        <v>6.7729999999999997</v>
      </c>
      <c r="D148" s="41">
        <v>22.646999999999998</v>
      </c>
      <c r="E148" s="49">
        <v>0</v>
      </c>
      <c r="F148" s="43">
        <v>9.67</v>
      </c>
      <c r="G148" s="13">
        <f>SUM(C148:F148)</f>
        <v>39.089999999999996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66">
        <v>0</v>
      </c>
      <c r="E151" s="93">
        <v>0</v>
      </c>
      <c r="F151" s="33">
        <v>0</v>
      </c>
      <c r="G151" s="39">
        <f>SUM(C151:F151)</f>
        <v>0</v>
      </c>
      <c r="H151" s="26"/>
    </row>
    <row r="152" spans="1:8" x14ac:dyDescent="0.25">
      <c r="B152" s="36" t="s">
        <v>85</v>
      </c>
      <c r="C152" s="36">
        <v>0</v>
      </c>
      <c r="D152" s="66">
        <v>0</v>
      </c>
      <c r="E152" s="91">
        <f>45000/1000000</f>
        <v>4.4999999999999998E-2</v>
      </c>
      <c r="F152" s="33">
        <v>0</v>
      </c>
      <c r="G152" s="13">
        <f>SUM(C152:F152)</f>
        <v>4.4999999999999998E-2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52</v>
      </c>
      <c r="E155" s="53">
        <v>0</v>
      </c>
      <c r="F155" s="53">
        <v>0</v>
      </c>
      <c r="G155" s="39">
        <f>SUM(C155:F155)</f>
        <v>52</v>
      </c>
      <c r="H155" s="26"/>
    </row>
    <row r="156" spans="1:8" x14ac:dyDescent="0.25">
      <c r="B156" s="36" t="s">
        <v>88</v>
      </c>
      <c r="C156" s="13">
        <v>0</v>
      </c>
      <c r="D156" s="41">
        <v>0.62</v>
      </c>
      <c r="E156" s="49">
        <v>0</v>
      </c>
      <c r="F156" s="53">
        <v>0</v>
      </c>
      <c r="G156" s="13">
        <f>SUM(C156:F156)</f>
        <v>0.62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1">
        <f>+C155+C151+C147</f>
        <v>331</v>
      </c>
      <c r="D159" s="22">
        <f>D147+D151+D155</f>
        <v>1210</v>
      </c>
      <c r="E159" s="72">
        <f>+E155+E151+E147</f>
        <v>0</v>
      </c>
      <c r="F159" s="22">
        <f>+F147+F155</f>
        <v>832</v>
      </c>
      <c r="G159" s="22">
        <f>SUM(C159:F159)</f>
        <v>2373</v>
      </c>
    </row>
    <row r="160" spans="1:8" x14ac:dyDescent="0.25">
      <c r="B160" s="21" t="s">
        <v>91</v>
      </c>
      <c r="C160" s="108">
        <f>+C156+C152+C148</f>
        <v>6.7729999999999997</v>
      </c>
      <c r="D160" s="22">
        <f>D148+D152+D156</f>
        <v>23.266999999999999</v>
      </c>
      <c r="E160" s="72">
        <f>+E156+E152+E148</f>
        <v>4.4999999999999998E-2</v>
      </c>
      <c r="F160" s="72">
        <f>+F148+F156</f>
        <v>9.67</v>
      </c>
      <c r="G160" s="25">
        <f>SUM(C160:F160)</f>
        <v>39.755000000000003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36">
        <v>1569</v>
      </c>
      <c r="D163" s="41">
        <v>15860</v>
      </c>
      <c r="E163" s="77">
        <v>1912</v>
      </c>
      <c r="F163" s="41">
        <v>8749</v>
      </c>
      <c r="G163" s="39">
        <f>SUM(C163:F163)</f>
        <v>28090</v>
      </c>
    </row>
    <row r="164" spans="1:8" x14ac:dyDescent="0.25">
      <c r="B164" s="17" t="s">
        <v>88</v>
      </c>
      <c r="C164" s="34">
        <f>53892885/1000000</f>
        <v>53.892885</v>
      </c>
      <c r="D164" s="41">
        <v>58.583674999999999</v>
      </c>
      <c r="E164" s="91">
        <f>23517349/1000000</f>
        <v>23.517348999999999</v>
      </c>
      <c r="F164" s="41">
        <v>48.884286000000003</v>
      </c>
      <c r="G164" s="13">
        <f>SUM(C164:F164)</f>
        <v>184.87819500000001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66"/>
      <c r="G167" s="151"/>
    </row>
    <row r="168" spans="1:8" x14ac:dyDescent="0.25">
      <c r="B168" s="36" t="s">
        <v>95</v>
      </c>
      <c r="C168" s="58">
        <v>107</v>
      </c>
      <c r="D168" s="41">
        <v>1213</v>
      </c>
      <c r="E168" s="78">
        <v>25</v>
      </c>
      <c r="F168" s="75">
        <v>333</v>
      </c>
      <c r="G168" s="79">
        <f>SUM(C168:F168)</f>
        <v>1678</v>
      </c>
    </row>
    <row r="169" spans="1:8" x14ac:dyDescent="0.25">
      <c r="B169" s="36" t="s">
        <v>96</v>
      </c>
      <c r="C169" s="56">
        <f>2675000/100000</f>
        <v>26.75</v>
      </c>
      <c r="D169" s="41">
        <v>17.63</v>
      </c>
      <c r="E169" s="110">
        <f>500000/1000000</f>
        <v>0.5</v>
      </c>
      <c r="F169" s="103">
        <v>12.48</v>
      </c>
      <c r="G169" s="80">
        <f>SUM(C169:F169)</f>
        <v>57.36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66"/>
      <c r="G171" s="151"/>
    </row>
    <row r="172" spans="1:8" x14ac:dyDescent="0.25">
      <c r="B172" s="36" t="s">
        <v>98</v>
      </c>
      <c r="C172" s="58">
        <v>1691</v>
      </c>
      <c r="D172" s="41">
        <v>487</v>
      </c>
      <c r="E172" s="78">
        <v>139</v>
      </c>
      <c r="F172" s="75">
        <v>355</v>
      </c>
      <c r="G172" s="79">
        <f>SUM(C172:F172)</f>
        <v>2672</v>
      </c>
    </row>
    <row r="173" spans="1:8" x14ac:dyDescent="0.25">
      <c r="B173" s="36" t="s">
        <v>96</v>
      </c>
      <c r="C173" s="56">
        <f>37202000/1000000</f>
        <v>37.201999999999998</v>
      </c>
      <c r="D173" s="41">
        <v>10.224</v>
      </c>
      <c r="E173" s="110">
        <f>3475000/1000000</f>
        <v>3.4750000000000001</v>
      </c>
      <c r="F173" s="103">
        <v>7.75</v>
      </c>
      <c r="G173" s="80">
        <f>SUM(C173:F173)</f>
        <v>58.651000000000003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74" t="s">
        <v>99</v>
      </c>
      <c r="C175" s="175"/>
      <c r="D175" s="175"/>
      <c r="E175" s="175"/>
      <c r="F175" s="178"/>
      <c r="G175" s="176"/>
    </row>
    <row r="176" spans="1:8" x14ac:dyDescent="0.25">
      <c r="B176" s="6" t="s">
        <v>98</v>
      </c>
      <c r="C176" s="68">
        <v>186</v>
      </c>
      <c r="D176" s="41">
        <v>290</v>
      </c>
      <c r="E176" s="78">
        <v>189</v>
      </c>
      <c r="F176" s="75">
        <v>32</v>
      </c>
      <c r="G176" s="104">
        <f>SUM(C176:F176)</f>
        <v>697</v>
      </c>
    </row>
    <row r="177" spans="1:8" x14ac:dyDescent="0.25">
      <c r="B177" s="36" t="s">
        <v>96</v>
      </c>
      <c r="C177" s="106">
        <f>13020000/1000000</f>
        <v>13.02</v>
      </c>
      <c r="D177" s="41">
        <v>23.89</v>
      </c>
      <c r="E177" s="110">
        <f>11273673/1000000</f>
        <v>11.273673</v>
      </c>
      <c r="F177" s="103">
        <v>3.3</v>
      </c>
      <c r="G177" s="90">
        <f>SUM(C177:F177)</f>
        <v>51.483672999999996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68">
        <v>211</v>
      </c>
      <c r="D180" s="41">
        <v>17</v>
      </c>
      <c r="E180" s="28">
        <v>0</v>
      </c>
      <c r="F180" s="41">
        <v>0</v>
      </c>
      <c r="G180" s="39">
        <f>SUM(C180:F180)</f>
        <v>228</v>
      </c>
    </row>
    <row r="181" spans="1:8" x14ac:dyDescent="0.25">
      <c r="B181" s="36" t="s">
        <v>96</v>
      </c>
      <c r="C181" s="56">
        <f>6565000/1000000</f>
        <v>6.5650000000000004</v>
      </c>
      <c r="D181" s="41">
        <v>40.932133</v>
      </c>
      <c r="E181" s="68">
        <v>0</v>
      </c>
      <c r="F181" s="68">
        <v>0</v>
      </c>
      <c r="G181" s="13">
        <f>SUM(C181:F181)</f>
        <v>47.497132999999998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69">
        <v>2195</v>
      </c>
      <c r="D184" s="22">
        <f>D168+D172+D176+D180</f>
        <v>2007</v>
      </c>
      <c r="E184" s="22">
        <f t="shared" ref="E184:E185" si="5">+E180+E176+E172+E168</f>
        <v>353</v>
      </c>
      <c r="F184" s="22">
        <f>+F168+F172+F176+F180</f>
        <v>720</v>
      </c>
      <c r="G184" s="22">
        <f>SUM(C184:F184)</f>
        <v>5275</v>
      </c>
    </row>
    <row r="185" spans="1:8" x14ac:dyDescent="0.25">
      <c r="B185" s="21" t="s">
        <v>103</v>
      </c>
      <c r="C185" s="107">
        <f>59462000/1000000</f>
        <v>59.462000000000003</v>
      </c>
      <c r="D185" s="22">
        <f>D169+D173+D177+D181</f>
        <v>92.676132999999993</v>
      </c>
      <c r="E185" s="22">
        <f t="shared" si="5"/>
        <v>15.248673</v>
      </c>
      <c r="F185" s="22">
        <f>+F169+F173+F177+F181</f>
        <v>23.53</v>
      </c>
      <c r="G185" s="25">
        <f>SUM(C185:F185)</f>
        <v>190.91680599999998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36">
        <v>108</v>
      </c>
      <c r="D188" s="41">
        <v>656</v>
      </c>
      <c r="E188" s="84">
        <v>45</v>
      </c>
      <c r="F188" s="84">
        <f>F167+F172+F176+F180+F163</f>
        <v>9136</v>
      </c>
      <c r="G188" s="39">
        <f>SUM(C188:F188)</f>
        <v>9945</v>
      </c>
    </row>
    <row r="189" spans="1:8" x14ac:dyDescent="0.25">
      <c r="B189" s="17" t="s">
        <v>106</v>
      </c>
      <c r="C189" s="34">
        <f>1592708/1000000</f>
        <v>1.592708</v>
      </c>
      <c r="D189" s="41">
        <v>-19.730077000000001</v>
      </c>
      <c r="E189" s="105">
        <f>1830000/1000000</f>
        <v>1.83</v>
      </c>
      <c r="F189" s="84">
        <f>F168+F173+F177+F181+F164</f>
        <v>392.93428600000004</v>
      </c>
      <c r="G189" s="13">
        <f>SUM(C189:F189)</f>
        <v>376.62691700000005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4208</v>
      </c>
      <c r="D192" s="22">
        <f>+D188+D184+D163+D159</f>
        <v>19733</v>
      </c>
      <c r="E192" s="22">
        <f t="shared" ref="E192:E193" si="6">+E188+E184+E163+E159</f>
        <v>2310</v>
      </c>
      <c r="F192" s="22">
        <f>F159+F163+F184+F188</f>
        <v>19437</v>
      </c>
      <c r="G192" s="22">
        <f>SUM(C192:F192)</f>
        <v>45688</v>
      </c>
    </row>
    <row r="193" spans="2:7" x14ac:dyDescent="0.25">
      <c r="B193" s="21" t="s">
        <v>109</v>
      </c>
      <c r="C193" s="107">
        <f>122995593/1000000</f>
        <v>122.995593</v>
      </c>
      <c r="D193" s="22">
        <f>+D189+D185+D164+D160</f>
        <v>154.79673099999999</v>
      </c>
      <c r="E193" s="22">
        <f t="shared" si="6"/>
        <v>40.641022000000007</v>
      </c>
      <c r="F193" s="22">
        <f>F160+F185+F164+F189</f>
        <v>475.01857200000006</v>
      </c>
      <c r="G193" s="25">
        <f>SUM(C193:F193)</f>
        <v>793.45191800000009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1">
    <mergeCell ref="B187:G187"/>
    <mergeCell ref="B190:H190"/>
    <mergeCell ref="B191:G191"/>
    <mergeCell ref="B175:G175"/>
    <mergeCell ref="B178:H178"/>
    <mergeCell ref="B179:G179"/>
    <mergeCell ref="B182:H182"/>
    <mergeCell ref="B183:G183"/>
    <mergeCell ref="B186:H186"/>
    <mergeCell ref="B174:H174"/>
    <mergeCell ref="B153:H153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50:G150"/>
    <mergeCell ref="B134:H134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32:G132"/>
    <mergeCell ref="B105:G105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04:G104"/>
    <mergeCell ref="B53:G53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52:G52"/>
    <mergeCell ref="B32:G32"/>
    <mergeCell ref="B36:H36"/>
    <mergeCell ref="B37:G37"/>
    <mergeCell ref="B38:G38"/>
    <mergeCell ref="B41:H41"/>
    <mergeCell ref="B42:G42"/>
    <mergeCell ref="B45:H45"/>
    <mergeCell ref="B46:G46"/>
    <mergeCell ref="B49:H49"/>
    <mergeCell ref="B50:G50"/>
    <mergeCell ref="B51:H51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836E-DD46-428D-A080-F57079266CCB}">
  <dimension ref="A1:BD197"/>
  <sheetViews>
    <sheetView topLeftCell="A166" zoomScaleNormal="100" workbookViewId="0">
      <selection activeCell="D34" sqref="D34"/>
    </sheetView>
  </sheetViews>
  <sheetFormatPr baseColWidth="10" defaultColWidth="9.140625" defaultRowHeight="15" x14ac:dyDescent="0.25"/>
  <cols>
    <col min="1" max="1" width="4.1406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111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114">
        <v>56554</v>
      </c>
      <c r="D6" s="123">
        <v>8378</v>
      </c>
      <c r="E6" s="20">
        <v>9612</v>
      </c>
      <c r="F6" s="15">
        <v>10883</v>
      </c>
      <c r="G6" s="15">
        <f>+F6+E6+D6+C6</f>
        <v>85427</v>
      </c>
    </row>
    <row r="7" spans="1:7" x14ac:dyDescent="0.25">
      <c r="B7" s="36" t="s">
        <v>10</v>
      </c>
      <c r="C7" s="115">
        <v>525</v>
      </c>
      <c r="D7" s="123">
        <v>229</v>
      </c>
      <c r="E7" s="20">
        <v>11</v>
      </c>
      <c r="F7" s="15">
        <v>131</v>
      </c>
      <c r="G7" s="15">
        <f>+F7+E7+D7+C7</f>
        <v>896</v>
      </c>
    </row>
    <row r="8" spans="1:7" x14ac:dyDescent="0.25">
      <c r="B8" s="21" t="s">
        <v>11</v>
      </c>
      <c r="C8" s="116">
        <f>SUM(C6:C7)</f>
        <v>57079</v>
      </c>
      <c r="D8" s="116">
        <f>+D6+D7</f>
        <v>8607</v>
      </c>
      <c r="E8" s="118">
        <f>SUM(E6:E7)</f>
        <v>9623</v>
      </c>
      <c r="F8" s="30">
        <f>SUM(F6:F7)</f>
        <v>11014</v>
      </c>
      <c r="G8" s="30">
        <f>+F8+E8+D8+C8</f>
        <v>86323</v>
      </c>
    </row>
    <row r="9" spans="1:7" x14ac:dyDescent="0.25">
      <c r="B9" s="139"/>
      <c r="C9" s="139"/>
      <c r="D9" s="139"/>
      <c r="E9" s="139"/>
      <c r="F9" s="139"/>
      <c r="G9" s="13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944871</v>
      </c>
      <c r="D12" s="41">
        <v>146848</v>
      </c>
      <c r="E12" s="96">
        <v>55393</v>
      </c>
      <c r="F12" s="20">
        <v>0</v>
      </c>
      <c r="G12" s="20">
        <f>SUM(C12:F12)</f>
        <v>1147112</v>
      </c>
    </row>
    <row r="13" spans="1:7" x14ac:dyDescent="0.25">
      <c r="B13" s="19" t="s">
        <v>15</v>
      </c>
      <c r="C13" s="15">
        <v>2005976</v>
      </c>
      <c r="D13" s="41">
        <v>479674</v>
      </c>
      <c r="E13" s="96">
        <v>206888</v>
      </c>
      <c r="F13" s="20">
        <v>0</v>
      </c>
      <c r="G13" s="20">
        <f>SUM(C13:F13)</f>
        <v>2692538</v>
      </c>
    </row>
    <row r="14" spans="1:7" x14ac:dyDescent="0.25">
      <c r="B14" s="21" t="s">
        <v>16</v>
      </c>
      <c r="C14" s="22">
        <f>SUM(C12:C13)</f>
        <v>2950847</v>
      </c>
      <c r="D14" s="22">
        <v>914762</v>
      </c>
      <c r="E14" s="119">
        <f>SUM(E12:E13)</f>
        <v>262281</v>
      </c>
      <c r="F14" s="22">
        <v>370140</v>
      </c>
      <c r="G14" s="22">
        <f>SUM(C14:F14)</f>
        <v>4498030</v>
      </c>
    </row>
    <row r="15" spans="1:7" x14ac:dyDescent="0.25">
      <c r="B15" s="21" t="s">
        <v>17</v>
      </c>
      <c r="C15" s="22">
        <v>394741</v>
      </c>
      <c r="D15" s="22">
        <v>138438</v>
      </c>
      <c r="E15" s="119">
        <v>2784</v>
      </c>
      <c r="F15" s="22">
        <v>84938</v>
      </c>
      <c r="G15" s="22">
        <f>SUM(C15:F15)</f>
        <v>620901</v>
      </c>
    </row>
    <row r="16" spans="1:7" x14ac:dyDescent="0.25">
      <c r="B16" s="21" t="s">
        <v>18</v>
      </c>
      <c r="C16" s="85">
        <f>C15+C14</f>
        <v>3345588</v>
      </c>
      <c r="D16" s="22">
        <f>+D14+D15</f>
        <v>1053200</v>
      </c>
      <c r="E16" s="119">
        <f>SUM(E14:E15)</f>
        <v>265065</v>
      </c>
      <c r="F16" s="22">
        <f>SUM(F12:F15)</f>
        <v>455078</v>
      </c>
      <c r="G16" s="22">
        <f>SUM(C16:F16)</f>
        <v>5118931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15">
        <v>3865</v>
      </c>
      <c r="D19" s="41">
        <v>2576</v>
      </c>
      <c r="E19" s="28">
        <v>0</v>
      </c>
      <c r="F19" s="28">
        <v>0</v>
      </c>
      <c r="G19" s="76">
        <f>SUM(C19:F19)</f>
        <v>6441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85">
        <f>+C19+C16</f>
        <v>3349453</v>
      </c>
      <c r="D21" s="85">
        <v>1055776</v>
      </c>
      <c r="E21" s="22">
        <f>+E19+E16</f>
        <v>265065</v>
      </c>
      <c r="F21" s="22">
        <f>F16</f>
        <v>455078</v>
      </c>
      <c r="G21" s="22">
        <f>SUM(C21:F21)</f>
        <v>5125372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85">
        <v>415575</v>
      </c>
      <c r="D24" s="85">
        <v>233212</v>
      </c>
      <c r="E24" s="85">
        <v>137785</v>
      </c>
      <c r="F24" s="22">
        <v>662914</v>
      </c>
      <c r="G24" s="69">
        <f>SUM(C24:F24)</f>
        <v>1449486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85">
        <f>+C24+C21</f>
        <v>3765028</v>
      </c>
      <c r="D27" s="22">
        <f>+D24+D21</f>
        <v>1288988</v>
      </c>
      <c r="E27" s="22">
        <f>+E21+E24</f>
        <v>402850</v>
      </c>
      <c r="F27" s="22">
        <f>+F24+F21</f>
        <v>1117992</v>
      </c>
      <c r="G27" s="22">
        <f>SUM(C27:F27)</f>
        <v>6574858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71" t="s">
        <v>26</v>
      </c>
      <c r="C29" s="172"/>
      <c r="D29" s="172"/>
      <c r="E29" s="172"/>
      <c r="F29" s="172"/>
      <c r="G29" s="173"/>
    </row>
    <row r="30" spans="2:8" x14ac:dyDescent="0.25">
      <c r="B30" s="6" t="s">
        <v>27</v>
      </c>
      <c r="C30" s="117">
        <v>1379116</v>
      </c>
      <c r="D30" s="41">
        <v>239906</v>
      </c>
      <c r="E30" s="41">
        <v>107800</v>
      </c>
      <c r="F30" s="41">
        <v>223736</v>
      </c>
      <c r="G30" s="88">
        <f>SUM(C30:F30)</f>
        <v>1950558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68">
        <v>2582336369899</v>
      </c>
      <c r="D33" s="41">
        <v>468623787381</v>
      </c>
      <c r="E33" s="41">
        <v>193948199108</v>
      </c>
      <c r="F33" s="41">
        <v>310014265330</v>
      </c>
      <c r="G33" s="41">
        <f>SUM(C33:F33)</f>
        <v>3554922621718</v>
      </c>
    </row>
    <row r="34" spans="1:9" x14ac:dyDescent="0.25">
      <c r="B34" s="36" t="s">
        <v>30</v>
      </c>
      <c r="C34" s="68">
        <v>123053610307</v>
      </c>
      <c r="D34" s="41">
        <f>212157.7043264*D24</f>
        <v>49477722541.368401</v>
      </c>
      <c r="E34" s="41">
        <v>30537215000</v>
      </c>
      <c r="F34" s="41">
        <v>120898765154</v>
      </c>
      <c r="G34" s="41">
        <f>SUM(C34:F34)</f>
        <v>323967313002.36841</v>
      </c>
    </row>
    <row r="35" spans="1:9" x14ac:dyDescent="0.25">
      <c r="B35" s="21" t="s">
        <v>31</v>
      </c>
      <c r="C35" s="22">
        <f>SUM(C33:C34)</f>
        <v>2705389980206</v>
      </c>
      <c r="D35" s="22">
        <f>+D34+D33</f>
        <v>518101509922.36841</v>
      </c>
      <c r="E35" s="22">
        <f>+E33+E34</f>
        <v>224485414108</v>
      </c>
      <c r="F35" s="22">
        <f>SUM(F33:F34)</f>
        <v>430913030484</v>
      </c>
      <c r="G35" s="22">
        <f>SUM(C35:F35)</f>
        <v>3878889934720.3682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608328</v>
      </c>
      <c r="D39" s="41">
        <v>148512</v>
      </c>
      <c r="E39" s="41">
        <v>43330</v>
      </c>
      <c r="F39" s="41">
        <v>66379</v>
      </c>
      <c r="G39" s="39">
        <f>SUM(C39:F39)</f>
        <v>866549</v>
      </c>
      <c r="H39" s="9"/>
      <c r="I39" s="9"/>
    </row>
    <row r="40" spans="1:9" x14ac:dyDescent="0.25">
      <c r="B40" s="36" t="s">
        <v>35</v>
      </c>
      <c r="C40" s="41">
        <f>2359338027/1000000</f>
        <v>2359.3380269999998</v>
      </c>
      <c r="D40" s="34">
        <v>902.46120099999996</v>
      </c>
      <c r="E40" s="96">
        <v>407</v>
      </c>
      <c r="F40" s="15">
        <v>406.28614499999998</v>
      </c>
      <c r="G40" s="13">
        <f>SUM(C40:F40)</f>
        <v>4075.0853729999999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36" t="s">
        <v>37</v>
      </c>
      <c r="C43" s="41">
        <v>37</v>
      </c>
      <c r="D43" s="41">
        <v>30</v>
      </c>
      <c r="E43" s="96">
        <v>39</v>
      </c>
      <c r="F43" s="96">
        <v>8</v>
      </c>
      <c r="G43" s="39">
        <f>SUM(C43:F43)</f>
        <v>114</v>
      </c>
      <c r="H43" s="9"/>
      <c r="I43" s="9"/>
    </row>
    <row r="44" spans="1:9" x14ac:dyDescent="0.25">
      <c r="B44" s="36" t="s">
        <v>38</v>
      </c>
      <c r="C44" s="97">
        <f>4367608/1000000</f>
        <v>4.3676079999999997</v>
      </c>
      <c r="D44" s="16">
        <v>0.50917900000000005</v>
      </c>
      <c r="E44" s="120">
        <v>0.4</v>
      </c>
      <c r="F44" s="96">
        <v>0</v>
      </c>
      <c r="G44" s="13">
        <f>SUM(C44:F44)</f>
        <v>5.2767870000000006</v>
      </c>
      <c r="H44" s="9"/>
      <c r="I44" s="9"/>
    </row>
    <row r="45" spans="1:9" x14ac:dyDescent="0.25">
      <c r="A45" s="4"/>
      <c r="B45" s="139"/>
      <c r="C45" s="139"/>
      <c r="D45" s="139"/>
      <c r="E45" s="139"/>
      <c r="F45" s="139"/>
      <c r="G45" s="139"/>
      <c r="H45" s="139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114311</v>
      </c>
      <c r="D47" s="41">
        <v>58792</v>
      </c>
      <c r="E47" s="121">
        <v>12600</v>
      </c>
      <c r="F47" s="41">
        <v>60651</v>
      </c>
      <c r="G47" s="41">
        <f>SUM(C47:F47)</f>
        <v>246354</v>
      </c>
      <c r="H47" s="9"/>
      <c r="I47" s="9"/>
    </row>
    <row r="48" spans="1:9" x14ac:dyDescent="0.25">
      <c r="B48" s="36" t="s">
        <v>41</v>
      </c>
      <c r="C48" s="41">
        <f>(50534514850+1011197194)/1000000</f>
        <v>51545.712044</v>
      </c>
      <c r="D48" s="41">
        <v>19658.900516999998</v>
      </c>
      <c r="E48" s="121">
        <v>7915.2475139999997</v>
      </c>
      <c r="F48" s="15">
        <v>7879.2103619999998</v>
      </c>
      <c r="G48" s="13">
        <f>SUM(C48:F48)</f>
        <v>86999.070437000002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92308</v>
      </c>
      <c r="D54" s="41">
        <v>3023</v>
      </c>
      <c r="E54" s="42">
        <v>1093</v>
      </c>
      <c r="F54" s="41">
        <v>1700</v>
      </c>
      <c r="G54" s="41">
        <f t="shared" ref="G54:G70" si="0">SUM(C54:F54)</f>
        <v>98124</v>
      </c>
    </row>
    <row r="55" spans="1:8" x14ac:dyDescent="0.25">
      <c r="B55" s="36" t="s">
        <v>46</v>
      </c>
      <c r="C55" s="41">
        <v>36420.851995999998</v>
      </c>
      <c r="D55" s="41">
        <v>5188.9319999999998</v>
      </c>
      <c r="E55" s="42">
        <v>2290.7182210000001</v>
      </c>
      <c r="F55" s="42">
        <v>3738</v>
      </c>
      <c r="G55" s="41">
        <f t="shared" si="0"/>
        <v>47638.502217000001</v>
      </c>
    </row>
    <row r="56" spans="1:8" x14ac:dyDescent="0.25">
      <c r="B56" s="36" t="s">
        <v>47</v>
      </c>
      <c r="C56" s="41">
        <v>8.8145772847423807</v>
      </c>
      <c r="D56" s="41">
        <v>37.417424715489069</v>
      </c>
      <c r="E56" s="59">
        <v>29</v>
      </c>
      <c r="F56" s="41">
        <v>34</v>
      </c>
      <c r="G56" s="41">
        <f>AVERAGE(C56:F56)</f>
        <v>27.308000500057862</v>
      </c>
    </row>
    <row r="57" spans="1:8" x14ac:dyDescent="0.25">
      <c r="B57" s="36" t="s">
        <v>48</v>
      </c>
      <c r="C57" s="41">
        <v>755532</v>
      </c>
      <c r="D57" s="41">
        <v>180950</v>
      </c>
      <c r="E57" s="42">
        <v>58431</v>
      </c>
      <c r="F57" s="42">
        <v>87582</v>
      </c>
      <c r="G57" s="41">
        <f t="shared" si="0"/>
        <v>1082495</v>
      </c>
    </row>
    <row r="58" spans="1:8" x14ac:dyDescent="0.25">
      <c r="B58" s="36" t="s">
        <v>49</v>
      </c>
      <c r="C58" s="41">
        <v>1435411.7851780001</v>
      </c>
      <c r="D58" s="41">
        <v>310478.66148900002</v>
      </c>
      <c r="E58" s="60">
        <v>92322.963770999995</v>
      </c>
      <c r="F58" s="42">
        <v>153404</v>
      </c>
      <c r="G58" s="13">
        <f t="shared" si="0"/>
        <v>1991617.4104380002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4135</v>
      </c>
      <c r="D66" s="41">
        <v>2257</v>
      </c>
      <c r="E66" s="42">
        <v>1713</v>
      </c>
      <c r="F66" s="42">
        <v>5800</v>
      </c>
      <c r="G66" s="39">
        <f t="shared" si="0"/>
        <v>13905</v>
      </c>
    </row>
    <row r="67" spans="1:8" x14ac:dyDescent="0.25">
      <c r="B67" s="36" t="s">
        <v>46</v>
      </c>
      <c r="C67" s="41">
        <v>2726.569696</v>
      </c>
      <c r="D67" s="41">
        <v>3032.4340000000002</v>
      </c>
      <c r="E67" s="42">
        <v>2233.939159</v>
      </c>
      <c r="F67" s="42">
        <v>5884</v>
      </c>
      <c r="G67" s="39">
        <f t="shared" si="0"/>
        <v>13876.942854999999</v>
      </c>
    </row>
    <row r="68" spans="1:8" x14ac:dyDescent="0.25">
      <c r="B68" s="36" t="s">
        <v>47</v>
      </c>
      <c r="C68" s="41">
        <v>38.735187424425597</v>
      </c>
      <c r="D68" s="41">
        <v>55.865079662833118</v>
      </c>
      <c r="E68" s="42">
        <v>52</v>
      </c>
      <c r="F68" s="41">
        <v>43</v>
      </c>
      <c r="G68" s="39">
        <f>AVERAGE(C68:F68)</f>
        <v>47.400066771814679</v>
      </c>
    </row>
    <row r="69" spans="1:8" x14ac:dyDescent="0.25">
      <c r="B69" s="36" t="s">
        <v>48</v>
      </c>
      <c r="C69" s="41">
        <v>128533</v>
      </c>
      <c r="D69" s="41">
        <v>98110</v>
      </c>
      <c r="E69" s="42">
        <v>60209</v>
      </c>
      <c r="F69" s="15">
        <v>270262</v>
      </c>
      <c r="G69" s="39">
        <f t="shared" si="0"/>
        <v>557114</v>
      </c>
    </row>
    <row r="70" spans="1:8" x14ac:dyDescent="0.25">
      <c r="B70" s="36" t="s">
        <v>49</v>
      </c>
      <c r="C70" s="41">
        <v>94470.530656000003</v>
      </c>
      <c r="D70" s="41">
        <v>81623.284759000002</v>
      </c>
      <c r="E70" s="42">
        <v>45867.450698000001</v>
      </c>
      <c r="F70" s="9">
        <v>178247</v>
      </c>
      <c r="G70" s="40">
        <f t="shared" si="0"/>
        <v>400208.26611299999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96443</v>
      </c>
      <c r="D72" s="22">
        <f>+D66+D60+D54</f>
        <v>5280</v>
      </c>
      <c r="E72" s="22">
        <f t="shared" ref="E72:E73" si="1">+E66+E60+E54</f>
        <v>2806</v>
      </c>
      <c r="F72" s="22">
        <f>+F54+F66</f>
        <v>7500</v>
      </c>
      <c r="G72" s="22">
        <f>SUM(C72:F72)</f>
        <v>112029</v>
      </c>
    </row>
    <row r="73" spans="1:8" x14ac:dyDescent="0.25">
      <c r="B73" s="21" t="s">
        <v>46</v>
      </c>
      <c r="C73" s="22">
        <v>39147.421692000004</v>
      </c>
      <c r="D73" s="22">
        <f t="shared" ref="D73:D75" si="2">+D67+D61+D55</f>
        <v>8221.366</v>
      </c>
      <c r="E73" s="22">
        <f t="shared" si="1"/>
        <v>4524.6573800000006</v>
      </c>
      <c r="F73" s="22">
        <f>+F55+F67</f>
        <v>9622</v>
      </c>
      <c r="G73" s="25">
        <f>SUM(C73:F73)</f>
        <v>61515.445072000002</v>
      </c>
    </row>
    <row r="74" spans="1:8" x14ac:dyDescent="0.25">
      <c r="B74" s="21" t="s">
        <v>47</v>
      </c>
      <c r="C74" s="22">
        <v>10.097425422270099</v>
      </c>
      <c r="D74" s="22">
        <f>(+D56+D62+D68)/3</f>
        <v>31.094168126107395</v>
      </c>
      <c r="E74" s="22">
        <v>43</v>
      </c>
      <c r="F74" s="22">
        <f>(F56+F68)/2</f>
        <v>38.5</v>
      </c>
      <c r="G74" s="22">
        <f>AVERAGE(C74:F74)</f>
        <v>30.672898387094374</v>
      </c>
    </row>
    <row r="75" spans="1:8" x14ac:dyDescent="0.25">
      <c r="B75" s="21" t="s">
        <v>48</v>
      </c>
      <c r="C75" s="22">
        <v>1112919</v>
      </c>
      <c r="D75" s="22">
        <f t="shared" si="2"/>
        <v>279060</v>
      </c>
      <c r="E75" s="22">
        <f t="shared" ref="E75:E76" si="3">+E69+E63+E57</f>
        <v>118640</v>
      </c>
      <c r="F75" s="22">
        <f>+F57+F69</f>
        <v>357844</v>
      </c>
      <c r="G75" s="22">
        <f>SUM(C75:F75)</f>
        <v>1868463</v>
      </c>
    </row>
    <row r="76" spans="1:8" x14ac:dyDescent="0.25">
      <c r="B76" s="21" t="s">
        <v>49</v>
      </c>
      <c r="C76" s="22">
        <v>1529882.315834</v>
      </c>
      <c r="D76" s="22">
        <f>+D70+D64+D58</f>
        <v>392101.94624800002</v>
      </c>
      <c r="E76" s="22">
        <f t="shared" si="3"/>
        <v>138190.41446900001</v>
      </c>
      <c r="F76" s="22">
        <f>+F58+F70</f>
        <v>331651</v>
      </c>
      <c r="G76" s="25">
        <f>SUM(C76:F76)</f>
        <v>2391825.6765510002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A80" s="1">
        <v>0</v>
      </c>
      <c r="B80" s="36" t="s">
        <v>45</v>
      </c>
      <c r="C80" s="29">
        <v>0</v>
      </c>
      <c r="D80" s="41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29">
        <v>0</v>
      </c>
      <c r="D81" s="41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29">
        <v>0</v>
      </c>
      <c r="D82" s="41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29">
        <v>1115</v>
      </c>
      <c r="D83" s="41">
        <v>139</v>
      </c>
      <c r="E83" s="51">
        <v>7</v>
      </c>
      <c r="F83" s="29">
        <v>117</v>
      </c>
      <c r="G83" s="29">
        <f>SUM(C83:F83)</f>
        <v>1378</v>
      </c>
    </row>
    <row r="84" spans="2:7" x14ac:dyDescent="0.25">
      <c r="B84" s="36" t="s">
        <v>49</v>
      </c>
      <c r="C84" s="58">
        <v>21901.013975000002</v>
      </c>
      <c r="D84" s="41">
        <v>1585</v>
      </c>
      <c r="E84" s="51">
        <v>86</v>
      </c>
      <c r="F84" s="41">
        <v>2003.0409850000001</v>
      </c>
      <c r="G84" s="13">
        <f>SUM(C84:F84)</f>
        <v>25575.054960000001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70">
        <v>13</v>
      </c>
      <c r="D95" s="64">
        <v>0</v>
      </c>
      <c r="E95" s="23">
        <v>0</v>
      </c>
      <c r="F95" s="29">
        <v>8</v>
      </c>
      <c r="G95" s="39">
        <f>SUM(C95:F95)</f>
        <v>21</v>
      </c>
    </row>
    <row r="96" spans="2:7" x14ac:dyDescent="0.25">
      <c r="B96" s="36" t="s">
        <v>49</v>
      </c>
      <c r="C96" s="56">
        <v>191.579059</v>
      </c>
      <c r="D96" s="64">
        <v>0</v>
      </c>
      <c r="E96" s="23">
        <v>0</v>
      </c>
      <c r="F96" s="29">
        <v>114.491355</v>
      </c>
      <c r="G96" s="13">
        <f>SUM(C96:F96)</f>
        <v>306.07041400000003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1">
        <v>0</v>
      </c>
      <c r="D98" s="69">
        <f>+D92+D86+D80</f>
        <v>0</v>
      </c>
      <c r="E98" s="22">
        <v>0</v>
      </c>
      <c r="F98" s="24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69">
        <f t="shared" ref="D99:D102" si="4">+D93+D87+D81</f>
        <v>0</v>
      </c>
      <c r="E99" s="22">
        <v>0</v>
      </c>
      <c r="F99" s="24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69">
        <f t="shared" si="4"/>
        <v>0</v>
      </c>
      <c r="E100" s="22">
        <v>0</v>
      </c>
      <c r="F100" s="24">
        <v>0</v>
      </c>
      <c r="G100" s="22">
        <f>AVERAGE(C100:F100)</f>
        <v>0</v>
      </c>
    </row>
    <row r="101" spans="1:8" x14ac:dyDescent="0.25">
      <c r="B101" s="21" t="s">
        <v>48</v>
      </c>
      <c r="C101" s="69">
        <v>1128</v>
      </c>
      <c r="D101" s="69">
        <f t="shared" si="4"/>
        <v>139</v>
      </c>
      <c r="E101" s="22">
        <f>+E83</f>
        <v>7</v>
      </c>
      <c r="F101" s="32">
        <v>0</v>
      </c>
      <c r="G101" s="22">
        <f>SUM(C101:F101)</f>
        <v>1274</v>
      </c>
    </row>
    <row r="102" spans="1:8" x14ac:dyDescent="0.25">
      <c r="B102" s="21" t="s">
        <v>49</v>
      </c>
      <c r="C102" s="69">
        <v>22092.593034000001</v>
      </c>
      <c r="D102" s="69">
        <f t="shared" si="4"/>
        <v>1585</v>
      </c>
      <c r="E102" s="22">
        <f>+E84</f>
        <v>86</v>
      </c>
      <c r="F102" s="25">
        <v>0</v>
      </c>
      <c r="G102" s="25">
        <f>SUM(C102:F102)</f>
        <v>23763.593034000001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6">
        <v>1.7832261432450001</v>
      </c>
      <c r="D106" s="16">
        <v>2.5661276595744602</v>
      </c>
      <c r="E106" s="45">
        <v>2.42</v>
      </c>
      <c r="F106" s="16">
        <v>2.1800000000000002</v>
      </c>
      <c r="G106" s="74">
        <f>AVERAGE(C106:F106)</f>
        <v>2.2373384507048653</v>
      </c>
    </row>
    <row r="107" spans="1:8" x14ac:dyDescent="0.25">
      <c r="B107" s="36" t="s">
        <v>58</v>
      </c>
      <c r="C107" s="16">
        <v>1.8038378378378399</v>
      </c>
      <c r="D107" s="16">
        <v>2.4233898305084676</v>
      </c>
      <c r="E107" s="48">
        <v>2.41</v>
      </c>
      <c r="F107" s="16">
        <v>2.1800000000000002</v>
      </c>
      <c r="G107" s="74">
        <f>AVERAGE(C107:F107)</f>
        <v>2.2043069170865768</v>
      </c>
    </row>
    <row r="108" spans="1:8" x14ac:dyDescent="0.25">
      <c r="B108" s="36" t="s">
        <v>59</v>
      </c>
      <c r="C108" s="16">
        <v>1.6253660270077801</v>
      </c>
      <c r="D108" s="16">
        <v>2.2764444444444418</v>
      </c>
      <c r="E108" s="45">
        <v>2.1800000000000002</v>
      </c>
      <c r="F108" s="16">
        <v>2.1800000000000002</v>
      </c>
      <c r="G108" s="74">
        <f>AVERAGE(C108:F108)</f>
        <v>2.0654526178630555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1.47</v>
      </c>
      <c r="D110" s="16">
        <v>1.5760000000000003</v>
      </c>
      <c r="E110" s="45">
        <v>1.61</v>
      </c>
      <c r="F110" s="16">
        <v>1.55</v>
      </c>
      <c r="G110" s="74">
        <f>AVERAGE(C110:F110)</f>
        <v>1.5515000000000001</v>
      </c>
    </row>
    <row r="111" spans="1:8" x14ac:dyDescent="0.25">
      <c r="B111" s="36" t="s">
        <v>58</v>
      </c>
      <c r="C111" s="16">
        <v>1.45</v>
      </c>
      <c r="D111" s="16">
        <v>1.5760000000000003</v>
      </c>
      <c r="E111" s="45">
        <v>1.61</v>
      </c>
      <c r="F111" s="16">
        <v>1.55</v>
      </c>
      <c r="G111" s="74">
        <f>AVERAGE(C111:F111)</f>
        <v>1.5465</v>
      </c>
    </row>
    <row r="112" spans="1:8" x14ac:dyDescent="0.25">
      <c r="B112" s="36" t="s">
        <v>59</v>
      </c>
      <c r="C112" s="16">
        <v>1.1000000000000001</v>
      </c>
      <c r="D112" s="16">
        <v>1.5957446808510647</v>
      </c>
      <c r="E112" s="45">
        <v>1.57</v>
      </c>
      <c r="F112" s="16">
        <v>1.55</v>
      </c>
      <c r="G112" s="74">
        <f>AVERAGE(C112:F112)</f>
        <v>1.4539361702127662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1.3899999999999899</v>
      </c>
      <c r="D115" s="16">
        <v>1.6441666666666677</v>
      </c>
      <c r="E115" s="48">
        <v>1.58</v>
      </c>
      <c r="F115" s="16">
        <v>1.59</v>
      </c>
      <c r="G115" s="74">
        <f>AVERAGE(C115:F115)</f>
        <v>1.5510416666666644</v>
      </c>
    </row>
    <row r="116" spans="1:9" x14ac:dyDescent="0.25">
      <c r="B116" s="36" t="s">
        <v>58</v>
      </c>
      <c r="C116" s="16">
        <v>1.3889071038251299</v>
      </c>
      <c r="D116" s="16">
        <v>1.6420000000000017</v>
      </c>
      <c r="E116" s="48">
        <v>1.55</v>
      </c>
      <c r="F116" s="16">
        <v>1.59</v>
      </c>
      <c r="G116" s="74">
        <f>AVERAGE(C116:F116)</f>
        <v>1.5427267759562828</v>
      </c>
    </row>
    <row r="117" spans="1:9" x14ac:dyDescent="0.25">
      <c r="B117" s="36" t="s">
        <v>59</v>
      </c>
      <c r="C117" s="16">
        <v>1.3759885386819699</v>
      </c>
      <c r="D117" s="16">
        <v>1.6449758454106174</v>
      </c>
      <c r="E117" s="48">
        <v>1.58</v>
      </c>
      <c r="F117" s="16">
        <v>1.59</v>
      </c>
      <c r="G117" s="74">
        <f>AVERAGE(C117:F117)</f>
        <v>1.5477410960231468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16">
        <v>0</v>
      </c>
      <c r="D119" s="16">
        <v>1.1699999999999997</v>
      </c>
      <c r="E119" s="37">
        <v>0</v>
      </c>
      <c r="F119" s="16">
        <v>0.99</v>
      </c>
      <c r="G119" s="74">
        <f>AVERAGE(C119:F119)</f>
        <v>0.53999999999999992</v>
      </c>
      <c r="I119" s="10"/>
    </row>
    <row r="120" spans="1:9" x14ac:dyDescent="0.25">
      <c r="B120" s="36" t="s">
        <v>58</v>
      </c>
      <c r="C120" s="16">
        <v>0</v>
      </c>
      <c r="D120" s="16">
        <v>1.1699999999999997</v>
      </c>
      <c r="E120" s="37">
        <v>0</v>
      </c>
      <c r="F120" s="16">
        <v>1.3899999999999899</v>
      </c>
      <c r="G120" s="74">
        <f>AVERAGE(C120:F120)</f>
        <v>0.63999999999999746</v>
      </c>
      <c r="I120" s="10"/>
    </row>
    <row r="121" spans="1:9" x14ac:dyDescent="0.25">
      <c r="B121" s="36" t="s">
        <v>59</v>
      </c>
      <c r="C121" s="16">
        <v>0.99</v>
      </c>
      <c r="D121" s="16">
        <v>1.1699999999999997</v>
      </c>
      <c r="E121" s="45">
        <v>1.27</v>
      </c>
      <c r="F121" s="16">
        <v>1.3899999999999899</v>
      </c>
      <c r="G121" s="74">
        <f>AVERAGE(C121:F121)</f>
        <v>1.2049999999999974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16">
        <v>0</v>
      </c>
      <c r="D124" s="31">
        <v>0</v>
      </c>
      <c r="E124" s="23">
        <v>0</v>
      </c>
      <c r="F124" s="23">
        <v>0</v>
      </c>
      <c r="G124" s="40">
        <f>AVERAGE(C124:F124)</f>
        <v>0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6">
        <v>1.79892001125459</v>
      </c>
      <c r="D126" s="65">
        <v>1.9942315564098201</v>
      </c>
      <c r="E126" s="52">
        <v>2.0332949999999999</v>
      </c>
      <c r="F126" s="14">
        <v>0</v>
      </c>
      <c r="G126" s="40">
        <f>AVERAGE(C126:F126)</f>
        <v>1.4566116419161026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77"/>
      <c r="G128" s="153"/>
    </row>
    <row r="129" spans="1:9" x14ac:dyDescent="0.25">
      <c r="B129" s="36" t="s">
        <v>68</v>
      </c>
      <c r="C129" s="58">
        <v>316779</v>
      </c>
      <c r="D129" s="41">
        <v>10997</v>
      </c>
      <c r="E129" s="58">
        <v>8647</v>
      </c>
      <c r="F129" s="58">
        <v>1085</v>
      </c>
      <c r="G129" s="79">
        <f>SUM(C129:F129)</f>
        <v>337508</v>
      </c>
    </row>
    <row r="130" spans="1:9" x14ac:dyDescent="0.25">
      <c r="B130" s="36" t="s">
        <v>69</v>
      </c>
      <c r="C130" s="58">
        <v>179245.27283100001</v>
      </c>
      <c r="D130" s="41">
        <v>4243.3166469999996</v>
      </c>
      <c r="E130" s="58">
        <v>1218</v>
      </c>
      <c r="F130" s="58">
        <v>1410.787844</v>
      </c>
      <c r="G130" s="80">
        <f>SUM(C130:F130)</f>
        <v>186117.37732200001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58">
        <v>682774</v>
      </c>
      <c r="D133" s="41">
        <v>199488</v>
      </c>
      <c r="E133" s="58">
        <f>31837+118170</f>
        <v>150007</v>
      </c>
      <c r="F133" s="41">
        <v>348627</v>
      </c>
      <c r="G133" s="39">
        <f>SUM(C133:F133)</f>
        <v>1380896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39">
        <v>0</v>
      </c>
      <c r="D137" s="41">
        <v>6807</v>
      </c>
      <c r="E137" s="39">
        <v>0</v>
      </c>
      <c r="F137" s="41">
        <v>15914</v>
      </c>
      <c r="G137" s="41">
        <f>SUM(C137:F137)</f>
        <v>22721</v>
      </c>
      <c r="H137" s="9"/>
      <c r="I137" s="9"/>
    </row>
    <row r="138" spans="1:9" x14ac:dyDescent="0.25">
      <c r="B138" s="36" t="s">
        <v>75</v>
      </c>
      <c r="C138" s="39">
        <v>0</v>
      </c>
      <c r="D138" s="41">
        <v>10</v>
      </c>
      <c r="E138" s="39">
        <v>0</v>
      </c>
      <c r="F138" s="41">
        <v>245</v>
      </c>
      <c r="G138" s="41">
        <f>SUM(C138:F138)</f>
        <v>255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36">
        <v>140</v>
      </c>
      <c r="D147" s="41">
        <v>1115</v>
      </c>
      <c r="E147" s="63">
        <v>0</v>
      </c>
      <c r="F147" s="1">
        <v>429</v>
      </c>
      <c r="G147" s="39">
        <f>SUM(C147:F147)</f>
        <v>1684</v>
      </c>
    </row>
    <row r="148" spans="1:8" x14ac:dyDescent="0.25">
      <c r="B148" s="36" t="s">
        <v>82</v>
      </c>
      <c r="C148" s="34">
        <f>2859000/1000000</f>
        <v>2.859</v>
      </c>
      <c r="D148" s="41">
        <v>22.297000000000001</v>
      </c>
      <c r="E148" s="49">
        <v>0</v>
      </c>
      <c r="F148" s="43">
        <v>4.9089999999999998</v>
      </c>
      <c r="G148" s="13">
        <f>SUM(C148:F148)</f>
        <v>30.064999999999998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66">
        <v>0</v>
      </c>
      <c r="E151" s="93">
        <v>0</v>
      </c>
      <c r="F151" s="33">
        <v>0</v>
      </c>
      <c r="G151" s="39">
        <f>SUM(C151:F151)</f>
        <v>0</v>
      </c>
      <c r="H151" s="26"/>
    </row>
    <row r="152" spans="1:8" x14ac:dyDescent="0.25">
      <c r="B152" s="36" t="s">
        <v>85</v>
      </c>
      <c r="C152" s="36">
        <v>0</v>
      </c>
      <c r="D152" s="66">
        <v>0</v>
      </c>
      <c r="E152" s="91">
        <f>45000/1000000</f>
        <v>4.4999999999999998E-2</v>
      </c>
      <c r="F152" s="33">
        <v>0</v>
      </c>
      <c r="G152" s="13">
        <f>SUM(C152:F152)</f>
        <v>4.4999999999999998E-2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41</v>
      </c>
      <c r="E155" s="53">
        <v>0</v>
      </c>
      <c r="F155" s="53">
        <v>0</v>
      </c>
      <c r="G155" s="39">
        <f>SUM(C155:F155)</f>
        <v>41</v>
      </c>
      <c r="H155" s="26"/>
    </row>
    <row r="156" spans="1:8" x14ac:dyDescent="0.25">
      <c r="B156" s="36" t="s">
        <v>88</v>
      </c>
      <c r="C156" s="13">
        <v>0</v>
      </c>
      <c r="D156" s="41">
        <v>0.5</v>
      </c>
      <c r="E156" s="49">
        <v>0</v>
      </c>
      <c r="F156" s="53">
        <v>0</v>
      </c>
      <c r="G156" s="13">
        <f>SUM(C156:F156)</f>
        <v>0.5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1">
        <f>+C155+C151+C147</f>
        <v>140</v>
      </c>
      <c r="D159" s="22">
        <f>D147+D151+D155</f>
        <v>1156</v>
      </c>
      <c r="E159" s="72">
        <f>+E155+E151+E147</f>
        <v>0</v>
      </c>
      <c r="F159" s="22">
        <f>+F147+F155</f>
        <v>429</v>
      </c>
      <c r="G159" s="22">
        <f>SUM(C159:F159)</f>
        <v>1725</v>
      </c>
    </row>
    <row r="160" spans="1:8" x14ac:dyDescent="0.25">
      <c r="B160" s="21" t="s">
        <v>91</v>
      </c>
      <c r="C160" s="108">
        <f>+C156+C152+C148</f>
        <v>2.859</v>
      </c>
      <c r="D160" s="22">
        <f>D148+D152+D156</f>
        <v>22.797000000000001</v>
      </c>
      <c r="E160" s="72">
        <f>+E156+E152+E148</f>
        <v>4.4999999999999998E-2</v>
      </c>
      <c r="F160" s="72">
        <f>+F148+F156</f>
        <v>4.9089999999999998</v>
      </c>
      <c r="G160" s="25">
        <f>SUM(C160:F160)</f>
        <v>30.61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58">
        <v>1760</v>
      </c>
      <c r="D163" s="41">
        <v>22358</v>
      </c>
      <c r="E163" s="58">
        <v>2423</v>
      </c>
      <c r="F163" s="41">
        <v>10480</v>
      </c>
      <c r="G163" s="39">
        <f>SUM(C163:F163)</f>
        <v>37021</v>
      </c>
    </row>
    <row r="164" spans="1:8" x14ac:dyDescent="0.25">
      <c r="B164" s="17" t="s">
        <v>88</v>
      </c>
      <c r="C164" s="34">
        <f>55868427/1000000</f>
        <v>55.868426999999997</v>
      </c>
      <c r="D164" s="41">
        <v>117.99022099999999</v>
      </c>
      <c r="E164" s="91">
        <f>33164207/1000000</f>
        <v>33.164206999999998</v>
      </c>
      <c r="F164" s="41">
        <v>59.278131000000002</v>
      </c>
      <c r="G164" s="13">
        <f>SUM(C164:F164)</f>
        <v>266.30098599999997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66"/>
      <c r="G167" s="151"/>
    </row>
    <row r="168" spans="1:8" x14ac:dyDescent="0.25">
      <c r="B168" s="36" t="s">
        <v>95</v>
      </c>
      <c r="C168" s="58">
        <v>91</v>
      </c>
      <c r="D168" s="41">
        <v>1540</v>
      </c>
      <c r="E168" s="58">
        <v>24</v>
      </c>
      <c r="F168" s="58">
        <v>370</v>
      </c>
      <c r="G168" s="79">
        <f>SUM(C168:F168)</f>
        <v>2025</v>
      </c>
    </row>
    <row r="169" spans="1:8" x14ac:dyDescent="0.25">
      <c r="B169" s="36" t="s">
        <v>96</v>
      </c>
      <c r="C169" s="58">
        <f>2275000/100000</f>
        <v>22.75</v>
      </c>
      <c r="D169" s="41">
        <v>22.22</v>
      </c>
      <c r="E169" s="122">
        <f>480000/1000000</f>
        <v>0.48</v>
      </c>
      <c r="F169" s="58">
        <v>14.11</v>
      </c>
      <c r="G169" s="80">
        <f>SUM(C169:F169)</f>
        <v>59.559999999999995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66"/>
      <c r="G171" s="151"/>
    </row>
    <row r="172" spans="1:8" x14ac:dyDescent="0.25">
      <c r="B172" s="36" t="s">
        <v>98</v>
      </c>
      <c r="C172" s="58">
        <v>1680</v>
      </c>
      <c r="D172" s="41">
        <v>603</v>
      </c>
      <c r="E172" s="58">
        <v>164</v>
      </c>
      <c r="F172" s="58">
        <v>371</v>
      </c>
      <c r="G172" s="79">
        <f>SUM(C172:F172)</f>
        <v>2818</v>
      </c>
    </row>
    <row r="173" spans="1:8" x14ac:dyDescent="0.25">
      <c r="B173" s="36" t="s">
        <v>96</v>
      </c>
      <c r="C173" s="58">
        <f>36960000/1000000</f>
        <v>36.96</v>
      </c>
      <c r="D173" s="41">
        <v>12.66</v>
      </c>
      <c r="E173" s="58">
        <f>4100000/1000000</f>
        <v>4.0999999999999996</v>
      </c>
      <c r="F173" s="58">
        <v>8.1059999999999999</v>
      </c>
      <c r="G173" s="80">
        <f>SUM(C173:F173)</f>
        <v>61.826000000000008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74" t="s">
        <v>99</v>
      </c>
      <c r="C175" s="175"/>
      <c r="D175" s="175"/>
      <c r="E175" s="175"/>
      <c r="F175" s="178"/>
      <c r="G175" s="176"/>
    </row>
    <row r="176" spans="1:8" x14ac:dyDescent="0.25">
      <c r="B176" s="6" t="s">
        <v>98</v>
      </c>
      <c r="C176" s="68">
        <v>382</v>
      </c>
      <c r="D176" s="41">
        <v>408</v>
      </c>
      <c r="E176" s="68">
        <v>281</v>
      </c>
      <c r="F176" s="68">
        <v>72</v>
      </c>
      <c r="G176" s="104">
        <f>SUM(C176:F176)</f>
        <v>1143</v>
      </c>
    </row>
    <row r="177" spans="1:8" x14ac:dyDescent="0.25">
      <c r="B177" s="36" t="s">
        <v>96</v>
      </c>
      <c r="C177" s="68">
        <f>26740000/1000000</f>
        <v>26.74</v>
      </c>
      <c r="D177" s="41">
        <v>33.21</v>
      </c>
      <c r="E177" s="68">
        <f>16652557/1000000</f>
        <v>16.652557000000002</v>
      </c>
      <c r="F177" s="68">
        <v>7.32</v>
      </c>
      <c r="G177" s="90">
        <f>SUM(C177:F177)</f>
        <v>83.922557000000012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68">
        <v>266</v>
      </c>
      <c r="D180" s="41">
        <v>16</v>
      </c>
      <c r="E180" s="28">
        <v>0</v>
      </c>
      <c r="F180" s="41">
        <v>0</v>
      </c>
      <c r="G180" s="39">
        <f>SUM(C180:F180)</f>
        <v>282</v>
      </c>
    </row>
    <row r="181" spans="1:8" x14ac:dyDescent="0.25">
      <c r="B181" s="36" t="s">
        <v>96</v>
      </c>
      <c r="C181" s="68">
        <f>7970000/1000000</f>
        <v>7.97</v>
      </c>
      <c r="D181" s="41">
        <v>65.302024000000003</v>
      </c>
      <c r="E181" s="68">
        <v>0</v>
      </c>
      <c r="F181" s="68">
        <v>0</v>
      </c>
      <c r="G181" s="13">
        <f>SUM(C181:F181)</f>
        <v>73.272024000000002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69">
        <v>2419</v>
      </c>
      <c r="D184" s="22">
        <f>D168+D172+D176+D180</f>
        <v>2567</v>
      </c>
      <c r="E184" s="22">
        <f t="shared" ref="E184:E185" si="5">+E180+E176+E172+E168</f>
        <v>469</v>
      </c>
      <c r="F184" s="22">
        <f>+F168+F172+F176+F180</f>
        <v>813</v>
      </c>
      <c r="G184" s="22">
        <f>SUM(C184:F184)</f>
        <v>6268</v>
      </c>
    </row>
    <row r="185" spans="1:8" x14ac:dyDescent="0.25">
      <c r="B185" s="21" t="s">
        <v>103</v>
      </c>
      <c r="C185" s="69">
        <f>73945000/1000000</f>
        <v>73.944999999999993</v>
      </c>
      <c r="D185" s="22">
        <f>D169+D173+D177+D181</f>
        <v>133.39202399999999</v>
      </c>
      <c r="E185" s="22">
        <f t="shared" si="5"/>
        <v>21.232557000000003</v>
      </c>
      <c r="F185" s="22">
        <f>+F169+F173+F177+F181</f>
        <v>29.536000000000001</v>
      </c>
      <c r="G185" s="25">
        <f>SUM(C185:F185)</f>
        <v>258.10558100000003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36">
        <v>121</v>
      </c>
      <c r="D188" s="41">
        <v>887</v>
      </c>
      <c r="E188" s="36">
        <v>53</v>
      </c>
      <c r="F188" s="58">
        <f>F167+F172+F176+F180+F163</f>
        <v>10923</v>
      </c>
      <c r="G188" s="39">
        <f>SUM(C188:F188)</f>
        <v>11984</v>
      </c>
    </row>
    <row r="189" spans="1:8" x14ac:dyDescent="0.25">
      <c r="B189" s="17" t="s">
        <v>106</v>
      </c>
      <c r="C189" s="34">
        <f>1811837/1000000</f>
        <v>1.8118369999999999</v>
      </c>
      <c r="D189" s="41">
        <v>8.6059999999999999</v>
      </c>
      <c r="E189" s="34">
        <f>2060000/1000000</f>
        <v>2.06</v>
      </c>
      <c r="F189" s="58">
        <f>F168+F173+F177+F181+F164</f>
        <v>444.70413099999996</v>
      </c>
      <c r="G189" s="13">
        <f>SUM(C189:F189)</f>
        <v>457.18196799999998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4440</v>
      </c>
      <c r="D192" s="22">
        <f>+D188+D184+D163+D159</f>
        <v>26968</v>
      </c>
      <c r="E192" s="22">
        <f t="shared" ref="E192:E193" si="6">+E188+E184+E163+E159</f>
        <v>2945</v>
      </c>
      <c r="F192" s="22">
        <f>F159+F163+F184+F188</f>
        <v>22645</v>
      </c>
      <c r="G192" s="22">
        <f>SUM(C192:F192)</f>
        <v>56998</v>
      </c>
    </row>
    <row r="193" spans="2:7" x14ac:dyDescent="0.25">
      <c r="B193" s="21" t="s">
        <v>109</v>
      </c>
      <c r="C193" s="22">
        <f>134484264/1000000</f>
        <v>134.484264</v>
      </c>
      <c r="D193" s="22">
        <f>+D189+D185+D164+D160</f>
        <v>282.78524500000003</v>
      </c>
      <c r="E193" s="22">
        <f t="shared" si="6"/>
        <v>56.501764000000001</v>
      </c>
      <c r="F193" s="22">
        <f>F160+F185+F164+F189</f>
        <v>538.42726199999993</v>
      </c>
      <c r="G193" s="25">
        <f>SUM(C193:F193)</f>
        <v>1012.198535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1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2:G52"/>
    <mergeCell ref="B32:G32"/>
    <mergeCell ref="B36:H36"/>
    <mergeCell ref="B37:G37"/>
    <mergeCell ref="B38:G38"/>
    <mergeCell ref="B41:H41"/>
    <mergeCell ref="B42:G42"/>
    <mergeCell ref="B45:H45"/>
    <mergeCell ref="B46:G46"/>
    <mergeCell ref="B49:H49"/>
    <mergeCell ref="B50:G50"/>
    <mergeCell ref="B51:H51"/>
    <mergeCell ref="B104:G104"/>
    <mergeCell ref="B53:G53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132:G132"/>
    <mergeCell ref="B105:G105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50:G150"/>
    <mergeCell ref="B134:H134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74:H174"/>
    <mergeCell ref="B153:H153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87:G187"/>
    <mergeCell ref="B190:H190"/>
    <mergeCell ref="B191:G191"/>
    <mergeCell ref="B175:G175"/>
    <mergeCell ref="B178:H178"/>
    <mergeCell ref="B179:G179"/>
    <mergeCell ref="B182:H182"/>
    <mergeCell ref="B183:G183"/>
    <mergeCell ref="B186:H1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ADD47-8745-472E-B0FA-35B324ABE9E5}">
  <dimension ref="A1:BD197"/>
  <sheetViews>
    <sheetView topLeftCell="B39" zoomScaleNormal="100" workbookViewId="0">
      <selection activeCell="D44" sqref="D44"/>
    </sheetView>
  </sheetViews>
  <sheetFormatPr baseColWidth="10" defaultColWidth="9.140625" defaultRowHeight="15" x14ac:dyDescent="0.25"/>
  <cols>
    <col min="1" max="1" width="4.1406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111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58">
        <v>56410</v>
      </c>
      <c r="D6" s="41">
        <v>8327</v>
      </c>
      <c r="E6" s="20">
        <v>9550</v>
      </c>
      <c r="F6" s="15">
        <v>10844</v>
      </c>
      <c r="G6" s="15">
        <f>+F6+E6+D6+C6</f>
        <v>85131</v>
      </c>
    </row>
    <row r="7" spans="1:7" x14ac:dyDescent="0.25">
      <c r="B7" s="36" t="s">
        <v>10</v>
      </c>
      <c r="C7" s="125">
        <v>526</v>
      </c>
      <c r="D7" s="41">
        <v>229</v>
      </c>
      <c r="E7" s="20">
        <v>11</v>
      </c>
      <c r="F7" s="15">
        <v>131</v>
      </c>
      <c r="G7" s="15">
        <f>+F7+E7+D7+C7</f>
        <v>897</v>
      </c>
    </row>
    <row r="8" spans="1:7" x14ac:dyDescent="0.25">
      <c r="B8" s="21" t="s">
        <v>11</v>
      </c>
      <c r="C8" s="126">
        <f>SUM(C6:C7)</f>
        <v>56936</v>
      </c>
      <c r="D8" s="126">
        <f>+D6+D7</f>
        <v>8556</v>
      </c>
      <c r="E8" s="126">
        <f>SUM(E6:E7)</f>
        <v>9561</v>
      </c>
      <c r="F8" s="30">
        <f>SUM(F6:F7)</f>
        <v>10975</v>
      </c>
      <c r="G8" s="30">
        <f>+F8+E8+D8+C8</f>
        <v>86028</v>
      </c>
    </row>
    <row r="9" spans="1:7" x14ac:dyDescent="0.25">
      <c r="B9" s="179"/>
      <c r="C9" s="179"/>
      <c r="D9" s="179"/>
      <c r="E9" s="179"/>
      <c r="F9" s="179"/>
      <c r="G9" s="17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937999</v>
      </c>
      <c r="D12" s="41">
        <v>146558</v>
      </c>
      <c r="E12" s="81">
        <v>55359</v>
      </c>
      <c r="F12" s="20">
        <v>0</v>
      </c>
      <c r="G12" s="20">
        <f>SUM(C12:F12)</f>
        <v>1139916</v>
      </c>
    </row>
    <row r="13" spans="1:7" x14ac:dyDescent="0.25">
      <c r="B13" s="19" t="s">
        <v>15</v>
      </c>
      <c r="C13" s="15">
        <v>1972982</v>
      </c>
      <c r="D13" s="41">
        <v>479219</v>
      </c>
      <c r="E13" s="81">
        <v>203577</v>
      </c>
      <c r="F13" s="20">
        <v>0</v>
      </c>
      <c r="G13" s="20">
        <f>SUM(C13:F13)</f>
        <v>2655778</v>
      </c>
    </row>
    <row r="14" spans="1:7" x14ac:dyDescent="0.25">
      <c r="B14" s="21" t="s">
        <v>16</v>
      </c>
      <c r="C14" s="69">
        <f>SUM(C12:C13)</f>
        <v>2910981</v>
      </c>
      <c r="D14" s="69">
        <v>909702</v>
      </c>
      <c r="E14" s="69">
        <f>SUM(E12:E13)</f>
        <v>258936</v>
      </c>
      <c r="F14" s="22">
        <v>358841</v>
      </c>
      <c r="G14" s="22">
        <f>SUM(C14:F14)</f>
        <v>4438460</v>
      </c>
    </row>
    <row r="15" spans="1:7" x14ac:dyDescent="0.25">
      <c r="B15" s="21" t="s">
        <v>17</v>
      </c>
      <c r="C15" s="69">
        <v>389117</v>
      </c>
      <c r="D15" s="69">
        <v>138716</v>
      </c>
      <c r="E15" s="69">
        <v>2783</v>
      </c>
      <c r="F15" s="22">
        <v>83674</v>
      </c>
      <c r="G15" s="22">
        <f>SUM(C15:F15)</f>
        <v>614290</v>
      </c>
    </row>
    <row r="16" spans="1:7" x14ac:dyDescent="0.25">
      <c r="B16" s="21" t="s">
        <v>18</v>
      </c>
      <c r="C16" s="69">
        <f>C15+C14</f>
        <v>3300098</v>
      </c>
      <c r="D16" s="69">
        <f>+D14+D15</f>
        <v>1048418</v>
      </c>
      <c r="E16" s="69">
        <f>SUM(E14:E15)</f>
        <v>261719</v>
      </c>
      <c r="F16" s="22">
        <f>SUM(F12:F15)</f>
        <v>442515</v>
      </c>
      <c r="G16" s="22">
        <f>SUM(C16:F16)</f>
        <v>5052750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41">
        <v>3851</v>
      </c>
      <c r="D19" s="41">
        <v>2575</v>
      </c>
      <c r="E19" s="28">
        <v>0</v>
      </c>
      <c r="F19" s="28">
        <v>0</v>
      </c>
      <c r="G19" s="76">
        <f>SUM(C19:F19)</f>
        <v>6426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69">
        <f>+C19+C16</f>
        <v>3303949</v>
      </c>
      <c r="D21" s="69">
        <v>1050993</v>
      </c>
      <c r="E21" s="69">
        <f>+E19+E16</f>
        <v>261719</v>
      </c>
      <c r="F21" s="22">
        <f>F16</f>
        <v>442515</v>
      </c>
      <c r="G21" s="22">
        <f>SUM(C21:F21)</f>
        <v>5059176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69">
        <v>414240</v>
      </c>
      <c r="D24" s="69">
        <v>231277</v>
      </c>
      <c r="E24" s="69">
        <v>137962</v>
      </c>
      <c r="F24" s="22">
        <v>663199</v>
      </c>
      <c r="G24" s="69">
        <f>SUM(C24:F24)</f>
        <v>1446678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22">
        <f>+C24+C21</f>
        <v>3718189</v>
      </c>
      <c r="D27" s="22">
        <f>+D24+D21</f>
        <v>1282270</v>
      </c>
      <c r="E27" s="22">
        <f>+E21+E24</f>
        <v>399681</v>
      </c>
      <c r="F27" s="22">
        <f>+F24+F21</f>
        <v>1105714</v>
      </c>
      <c r="G27" s="22">
        <f>SUM(C27:F27)</f>
        <v>6505854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71" t="s">
        <v>26</v>
      </c>
      <c r="C29" s="172"/>
      <c r="D29" s="172"/>
      <c r="E29" s="172"/>
      <c r="F29" s="172"/>
      <c r="G29" s="173"/>
    </row>
    <row r="30" spans="2:8" x14ac:dyDescent="0.25">
      <c r="B30" s="6" t="s">
        <v>27</v>
      </c>
      <c r="C30" s="41">
        <v>1372473</v>
      </c>
      <c r="D30" s="41">
        <v>233932</v>
      </c>
      <c r="E30" s="41">
        <v>100750</v>
      </c>
      <c r="F30" s="41">
        <v>227257</v>
      </c>
      <c r="G30" s="88">
        <f>SUM(C30:F30)</f>
        <v>1934412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2589137092713</v>
      </c>
      <c r="D33" s="41">
        <v>476465227281</v>
      </c>
      <c r="E33" s="41">
        <v>192671484468</v>
      </c>
      <c r="F33" s="41">
        <v>303577541490</v>
      </c>
      <c r="G33" s="41">
        <f>SUM(C33:F33)</f>
        <v>3561851345952</v>
      </c>
    </row>
    <row r="34" spans="1:9" x14ac:dyDescent="0.25">
      <c r="B34" s="36" t="s">
        <v>30</v>
      </c>
      <c r="C34" s="41">
        <v>122967343854</v>
      </c>
      <c r="D34" s="41">
        <f>214447.6062804*D24</f>
        <v>49596799037.712074</v>
      </c>
      <c r="E34" s="41">
        <v>29735235300</v>
      </c>
      <c r="F34" s="41">
        <v>119956240379</v>
      </c>
      <c r="G34" s="41">
        <f>SUM(C34:F34)</f>
        <v>322255618570.71204</v>
      </c>
    </row>
    <row r="35" spans="1:9" x14ac:dyDescent="0.25">
      <c r="B35" s="21" t="s">
        <v>31</v>
      </c>
      <c r="C35" s="22">
        <f>SUM(C33:C34)</f>
        <v>2712104436567</v>
      </c>
      <c r="D35" s="22">
        <f>+D34+D33</f>
        <v>526062026318.7121</v>
      </c>
      <c r="E35" s="22">
        <f>+E33+E34</f>
        <v>222406719768</v>
      </c>
      <c r="F35" s="22">
        <f>SUM(F33:F34)</f>
        <v>423533781869</v>
      </c>
      <c r="G35" s="22">
        <f>SUM(C35:F35)</f>
        <v>3884106964522.7119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596033</v>
      </c>
      <c r="D39" s="41">
        <v>170318</v>
      </c>
      <c r="E39" s="41">
        <v>43073</v>
      </c>
      <c r="F39" s="41">
        <v>70434</v>
      </c>
      <c r="G39" s="39">
        <f>SUM(C39:F39)</f>
        <v>879858</v>
      </c>
      <c r="H39" s="9"/>
      <c r="I39" s="9"/>
    </row>
    <row r="40" spans="1:9" x14ac:dyDescent="0.25">
      <c r="B40" s="36" t="s">
        <v>35</v>
      </c>
      <c r="C40" s="41">
        <f>2370513909/1000000</f>
        <v>2370.5139089999998</v>
      </c>
      <c r="D40" s="41">
        <v>833.69579799999997</v>
      </c>
      <c r="E40" s="41">
        <v>347</v>
      </c>
      <c r="F40" s="15">
        <v>413.56232399999999</v>
      </c>
      <c r="G40" s="13">
        <f>SUM(C40:F40)</f>
        <v>3964.772031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36" t="s">
        <v>37</v>
      </c>
      <c r="C43" s="41">
        <v>65</v>
      </c>
      <c r="D43" s="41">
        <v>27</v>
      </c>
      <c r="E43" s="41">
        <v>16</v>
      </c>
      <c r="F43" s="96">
        <v>8</v>
      </c>
      <c r="G43" s="39">
        <f>SUM(C43:F43)</f>
        <v>116</v>
      </c>
      <c r="H43" s="9"/>
      <c r="I43" s="9"/>
    </row>
    <row r="44" spans="1:9" x14ac:dyDescent="0.25">
      <c r="B44" s="36" t="s">
        <v>38</v>
      </c>
      <c r="C44" s="41">
        <f>5384684/1000000</f>
        <v>5.384684</v>
      </c>
      <c r="D44" s="40">
        <v>0.5</v>
      </c>
      <c r="E44" s="41">
        <v>0.1</v>
      </c>
      <c r="F44" s="96">
        <v>0</v>
      </c>
      <c r="G44" s="13">
        <f>SUM(C44:F44)</f>
        <v>5.9846839999999997</v>
      </c>
      <c r="H44" s="9"/>
      <c r="I44" s="9"/>
    </row>
    <row r="45" spans="1:9" x14ac:dyDescent="0.25">
      <c r="A45" s="4"/>
      <c r="B45" s="139"/>
      <c r="C45" s="139"/>
      <c r="D45" s="139"/>
      <c r="E45" s="139"/>
      <c r="F45" s="139"/>
      <c r="G45" s="139"/>
      <c r="H45" s="139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118835</v>
      </c>
      <c r="D47" s="41">
        <v>49135</v>
      </c>
      <c r="E47" s="41">
        <v>8377</v>
      </c>
      <c r="F47" s="41">
        <v>46849</v>
      </c>
      <c r="G47" s="41">
        <f>SUM(C47:F47)</f>
        <v>223196</v>
      </c>
      <c r="H47" s="9"/>
      <c r="I47" s="9"/>
    </row>
    <row r="48" spans="1:9" x14ac:dyDescent="0.25">
      <c r="B48" s="36" t="s">
        <v>41</v>
      </c>
      <c r="C48" s="114">
        <f>(41497159776+8184354142)/1000000</f>
        <v>49681.513917999997</v>
      </c>
      <c r="D48" s="41">
        <v>15725.259523999999</v>
      </c>
      <c r="E48" s="41">
        <v>6431.9033559999998</v>
      </c>
      <c r="F48" s="15">
        <v>6254.5469110000004</v>
      </c>
      <c r="G48" s="13">
        <f>SUM(C48:F48)</f>
        <v>78093.223708999998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65374</v>
      </c>
      <c r="D54" s="41">
        <v>1738</v>
      </c>
      <c r="E54" s="42">
        <v>838</v>
      </c>
      <c r="F54" s="42">
        <v>1039</v>
      </c>
      <c r="G54" s="41">
        <f t="shared" ref="G54:G70" si="0">SUM(C54:F54)</f>
        <v>68989</v>
      </c>
    </row>
    <row r="55" spans="1:8" x14ac:dyDescent="0.25">
      <c r="B55" s="36" t="s">
        <v>46</v>
      </c>
      <c r="C55" s="41">
        <f>23784590487/1000000</f>
        <v>23784.590487000001</v>
      </c>
      <c r="D55" s="41">
        <v>3713.7840000000001</v>
      </c>
      <c r="E55" s="42">
        <v>2115.4793370000002</v>
      </c>
      <c r="F55" s="42">
        <v>2558</v>
      </c>
      <c r="G55" s="41">
        <f t="shared" si="0"/>
        <v>32171.853824000002</v>
      </c>
    </row>
    <row r="56" spans="1:8" x14ac:dyDescent="0.25">
      <c r="B56" s="36" t="s">
        <v>47</v>
      </c>
      <c r="C56" s="41">
        <v>7.3322880655918299</v>
      </c>
      <c r="D56" s="41">
        <v>40.467273496918267</v>
      </c>
      <c r="E56" s="59">
        <v>33</v>
      </c>
      <c r="F56" s="42">
        <v>34</v>
      </c>
      <c r="G56" s="41">
        <f>AVERAGE(C56:F56)</f>
        <v>28.699890390627523</v>
      </c>
    </row>
    <row r="57" spans="1:8" x14ac:dyDescent="0.25">
      <c r="B57" s="36" t="s">
        <v>48</v>
      </c>
      <c r="C57" s="41">
        <v>958992</v>
      </c>
      <c r="D57" s="41">
        <v>177055</v>
      </c>
      <c r="E57" s="42">
        <v>57388</v>
      </c>
      <c r="F57" s="42">
        <v>85296</v>
      </c>
      <c r="G57" s="41">
        <f t="shared" si="0"/>
        <v>1278731</v>
      </c>
    </row>
    <row r="58" spans="1:8" x14ac:dyDescent="0.25">
      <c r="B58" s="36" t="s">
        <v>49</v>
      </c>
      <c r="C58" s="41">
        <v>1410764.1107089999</v>
      </c>
      <c r="D58" s="41">
        <v>306052.85079400003</v>
      </c>
      <c r="E58" s="60">
        <v>91332.507215000005</v>
      </c>
      <c r="F58" s="42">
        <v>149428</v>
      </c>
      <c r="G58" s="13">
        <f t="shared" si="0"/>
        <v>1957577.468718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2817</v>
      </c>
      <c r="D66" s="41">
        <v>1668</v>
      </c>
      <c r="E66" s="42">
        <v>1763</v>
      </c>
      <c r="F66" s="42">
        <v>4838</v>
      </c>
      <c r="G66" s="39">
        <f t="shared" si="0"/>
        <v>11086</v>
      </c>
    </row>
    <row r="67" spans="1:8" x14ac:dyDescent="0.25">
      <c r="B67" s="36" t="s">
        <v>46</v>
      </c>
      <c r="C67" s="41">
        <f>1917180382/1000000</f>
        <v>1917.180382</v>
      </c>
      <c r="D67" s="41">
        <v>2399.5920000000001</v>
      </c>
      <c r="E67" s="42">
        <v>2559.2345660000001</v>
      </c>
      <c r="F67" s="42">
        <v>5346</v>
      </c>
      <c r="G67" s="39">
        <f t="shared" si="0"/>
        <v>12222.006948</v>
      </c>
    </row>
    <row r="68" spans="1:8" x14ac:dyDescent="0.25">
      <c r="B68" s="36" t="s">
        <v>47</v>
      </c>
      <c r="C68" s="41">
        <v>36.662761803336899</v>
      </c>
      <c r="D68" s="41">
        <v>55.238426876450191</v>
      </c>
      <c r="E68" s="42">
        <v>54</v>
      </c>
      <c r="F68" s="41">
        <v>45</v>
      </c>
      <c r="G68" s="39">
        <f>AVERAGE(C68:F68)</f>
        <v>47.725297169946771</v>
      </c>
    </row>
    <row r="69" spans="1:8" x14ac:dyDescent="0.25">
      <c r="B69" s="36" t="s">
        <v>48</v>
      </c>
      <c r="C69" s="41">
        <v>127973</v>
      </c>
      <c r="D69" s="41">
        <v>96515</v>
      </c>
      <c r="E69" s="42">
        <v>59847</v>
      </c>
      <c r="F69" s="15">
        <v>267628</v>
      </c>
      <c r="G69" s="39">
        <f t="shared" si="0"/>
        <v>551963</v>
      </c>
    </row>
    <row r="70" spans="1:8" x14ac:dyDescent="0.25">
      <c r="B70" s="36" t="s">
        <v>49</v>
      </c>
      <c r="C70" s="41">
        <v>93158.132641000004</v>
      </c>
      <c r="D70" s="41">
        <v>80854.943564000001</v>
      </c>
      <c r="E70" s="42">
        <v>46274.080033999999</v>
      </c>
      <c r="F70" s="9">
        <v>176304</v>
      </c>
      <c r="G70" s="40">
        <f t="shared" si="0"/>
        <v>396591.15623899997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68192</v>
      </c>
      <c r="D72" s="22">
        <f>+D66+D60+D54</f>
        <v>3406</v>
      </c>
      <c r="E72" s="22">
        <f t="shared" ref="E72:E73" si="1">+E66+E60+E54</f>
        <v>2601</v>
      </c>
      <c r="F72" s="22">
        <f>+F54+F66</f>
        <v>5877</v>
      </c>
      <c r="G72" s="22">
        <f>SUM(C72:F72)</f>
        <v>80076</v>
      </c>
    </row>
    <row r="73" spans="1:8" x14ac:dyDescent="0.25">
      <c r="B73" s="21" t="s">
        <v>46</v>
      </c>
      <c r="C73" s="22">
        <v>25701.827284999999</v>
      </c>
      <c r="D73" s="22">
        <f t="shared" ref="D73:E76" si="2">+D67+D61+D55</f>
        <v>6113.3760000000002</v>
      </c>
      <c r="E73" s="22">
        <f t="shared" si="1"/>
        <v>4674.7139029999998</v>
      </c>
      <c r="F73" s="22">
        <f>+F55+F67</f>
        <v>7904</v>
      </c>
      <c r="G73" s="25">
        <f>SUM(C73:F73)</f>
        <v>44393.917187999999</v>
      </c>
    </row>
    <row r="74" spans="1:8" x14ac:dyDescent="0.25">
      <c r="B74" s="21" t="s">
        <v>47</v>
      </c>
      <c r="C74" s="22">
        <v>8.54386145002346</v>
      </c>
      <c r="D74" s="22">
        <f>(+D56+D62+D68)/3</f>
        <v>31.901900124456152</v>
      </c>
      <c r="E74" s="22">
        <v>47</v>
      </c>
      <c r="F74" s="22">
        <f>(F56+F68)/2</f>
        <v>39.5</v>
      </c>
      <c r="G74" s="22">
        <f>AVERAGE(C74:F74)</f>
        <v>31.736440393619901</v>
      </c>
    </row>
    <row r="75" spans="1:8" x14ac:dyDescent="0.25">
      <c r="B75" s="21" t="s">
        <v>48</v>
      </c>
      <c r="C75" s="22">
        <v>1086966</v>
      </c>
      <c r="D75" s="22">
        <f t="shared" si="2"/>
        <v>273570</v>
      </c>
      <c r="E75" s="22">
        <f t="shared" si="2"/>
        <v>117235</v>
      </c>
      <c r="F75" s="22">
        <f>+F57+F69</f>
        <v>352924</v>
      </c>
      <c r="G75" s="22">
        <f>SUM(C75:F75)</f>
        <v>1830695</v>
      </c>
    </row>
    <row r="76" spans="1:8" x14ac:dyDescent="0.25">
      <c r="B76" s="21" t="s">
        <v>49</v>
      </c>
      <c r="C76" s="22">
        <v>1503922.2997659999</v>
      </c>
      <c r="D76" s="22">
        <f>+D70+D64+D58</f>
        <v>386907.79435800004</v>
      </c>
      <c r="E76" s="22">
        <f t="shared" si="2"/>
        <v>137606.587249</v>
      </c>
      <c r="F76" s="22">
        <f>+F58+F70</f>
        <v>325732</v>
      </c>
      <c r="G76" s="25">
        <f>SUM(C76:F76)</f>
        <v>2354168.6813730001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A80" s="1">
        <v>0</v>
      </c>
      <c r="B80" s="36" t="s">
        <v>45</v>
      </c>
      <c r="C80" s="41">
        <v>0</v>
      </c>
      <c r="D80" s="36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41">
        <v>0</v>
      </c>
      <c r="D81" s="36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41">
        <v>0</v>
      </c>
      <c r="D82" s="36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41">
        <v>1109</v>
      </c>
      <c r="D83" s="41">
        <v>139</v>
      </c>
      <c r="E83" s="51">
        <v>7</v>
      </c>
      <c r="F83" s="29">
        <v>117</v>
      </c>
      <c r="G83" s="29">
        <f>SUM(C83:F83)</f>
        <v>1372</v>
      </c>
    </row>
    <row r="84" spans="2:7" x14ac:dyDescent="0.25">
      <c r="B84" s="36" t="s">
        <v>49</v>
      </c>
      <c r="C84" s="41">
        <v>21748.196279</v>
      </c>
      <c r="D84" s="41">
        <v>1578</v>
      </c>
      <c r="E84" s="51">
        <v>86</v>
      </c>
      <c r="F84" s="41">
        <v>1981.405454</v>
      </c>
      <c r="G84" s="13">
        <f>SUM(C84:F84)</f>
        <v>25393.601733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36">
        <v>13</v>
      </c>
      <c r="D95" s="64">
        <v>0</v>
      </c>
      <c r="E95" s="23">
        <v>0</v>
      </c>
      <c r="F95" s="29">
        <v>8</v>
      </c>
      <c r="G95" s="39">
        <f>SUM(C95:F95)</f>
        <v>21</v>
      </c>
    </row>
    <row r="96" spans="2:7" x14ac:dyDescent="0.25">
      <c r="B96" s="36" t="s">
        <v>49</v>
      </c>
      <c r="C96" s="34">
        <v>190.58761000000001</v>
      </c>
      <c r="D96" s="64">
        <v>0</v>
      </c>
      <c r="E96" s="23">
        <v>0</v>
      </c>
      <c r="F96" s="29">
        <v>114.491355</v>
      </c>
      <c r="G96" s="13">
        <f>SUM(C96:F96)</f>
        <v>305.07896500000004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1">
        <v>0</v>
      </c>
      <c r="D98" s="69">
        <f>+D92+D86+D80</f>
        <v>0</v>
      </c>
      <c r="E98" s="22">
        <v>0</v>
      </c>
      <c r="F98" s="24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69">
        <f t="shared" ref="D99:D102" si="3">+D93+D87+D81</f>
        <v>0</v>
      </c>
      <c r="E99" s="22">
        <v>0</v>
      </c>
      <c r="F99" s="24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69">
        <f t="shared" si="3"/>
        <v>0</v>
      </c>
      <c r="E100" s="22">
        <v>0</v>
      </c>
      <c r="F100" s="24">
        <v>0</v>
      </c>
      <c r="G100" s="22">
        <f>AVERAGE(C100:F100)</f>
        <v>0</v>
      </c>
    </row>
    <row r="101" spans="1:8" x14ac:dyDescent="0.25">
      <c r="B101" s="21" t="s">
        <v>48</v>
      </c>
      <c r="C101" s="69">
        <v>1122</v>
      </c>
      <c r="D101" s="69">
        <f t="shared" si="3"/>
        <v>139</v>
      </c>
      <c r="E101" s="22">
        <f>+E83</f>
        <v>7</v>
      </c>
      <c r="F101" s="32">
        <v>0</v>
      </c>
      <c r="G101" s="22">
        <f>SUM(C101:F101)</f>
        <v>1268</v>
      </c>
    </row>
    <row r="102" spans="1:8" x14ac:dyDescent="0.25">
      <c r="B102" s="21" t="s">
        <v>49</v>
      </c>
      <c r="C102" s="69">
        <v>21938.783888999998</v>
      </c>
      <c r="D102" s="69">
        <f t="shared" si="3"/>
        <v>1578</v>
      </c>
      <c r="E102" s="22">
        <f>+E84</f>
        <v>86</v>
      </c>
      <c r="F102" s="25">
        <v>0</v>
      </c>
      <c r="G102" s="25">
        <f>SUM(C102:F102)</f>
        <v>23602.783888999998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6">
        <v>1.78158355205597</v>
      </c>
      <c r="D106" s="16">
        <v>2.4877358490566053</v>
      </c>
      <c r="E106" s="45">
        <v>2.38</v>
      </c>
      <c r="F106" s="16">
        <v>1.76</v>
      </c>
      <c r="G106" s="74">
        <f>AVERAGE(C106:F106)</f>
        <v>2.102329850278144</v>
      </c>
    </row>
    <row r="107" spans="1:8" x14ac:dyDescent="0.25">
      <c r="B107" s="36" t="s">
        <v>58</v>
      </c>
      <c r="C107" s="16">
        <v>1.80317307692308</v>
      </c>
      <c r="D107" s="16">
        <v>2.3640860215053778</v>
      </c>
      <c r="E107" s="48">
        <v>2.2799999999999998</v>
      </c>
      <c r="F107" s="16">
        <v>2.1800000000000002</v>
      </c>
      <c r="G107" s="74">
        <f>AVERAGE(C107:F107)</f>
        <v>2.1568147746071142</v>
      </c>
    </row>
    <row r="108" spans="1:8" x14ac:dyDescent="0.25">
      <c r="B108" s="36" t="s">
        <v>59</v>
      </c>
      <c r="C108" s="16">
        <v>1.60593395252835</v>
      </c>
      <c r="D108" s="16">
        <v>2.2313178294573643</v>
      </c>
      <c r="E108" s="45">
        <v>2.15</v>
      </c>
      <c r="F108" s="16">
        <v>2.1800000000000002</v>
      </c>
      <c r="G108" s="74">
        <f>AVERAGE(C108:F108)</f>
        <v>2.0418129454964284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1.47</v>
      </c>
      <c r="D110" s="16">
        <v>1.5700000000000003</v>
      </c>
      <c r="E110" s="45">
        <v>1.55</v>
      </c>
      <c r="F110" s="16">
        <v>1.55</v>
      </c>
      <c r="G110" s="74">
        <f>AVERAGE(C110:F110)</f>
        <v>1.5349999999999999</v>
      </c>
    </row>
    <row r="111" spans="1:8" x14ac:dyDescent="0.25">
      <c r="B111" s="36" t="s">
        <v>58</v>
      </c>
      <c r="C111" s="16">
        <v>1.45</v>
      </c>
      <c r="D111" s="16">
        <v>1.5763636363636366</v>
      </c>
      <c r="E111" s="45">
        <v>1.55</v>
      </c>
      <c r="F111" s="16">
        <v>1.55</v>
      </c>
      <c r="G111" s="74">
        <f>AVERAGE(C111:F111)</f>
        <v>1.531590909090909</v>
      </c>
    </row>
    <row r="112" spans="1:8" x14ac:dyDescent="0.25">
      <c r="B112" s="36" t="s">
        <v>59</v>
      </c>
      <c r="C112" s="16">
        <v>1.0972693726937299</v>
      </c>
      <c r="D112" s="16">
        <v>1.5816176470588257</v>
      </c>
      <c r="E112" s="45">
        <v>1.55</v>
      </c>
      <c r="F112" s="16">
        <v>1.55</v>
      </c>
      <c r="G112" s="74">
        <f>AVERAGE(C112:F112)</f>
        <v>1.4447217549381388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1.3899999999999899</v>
      </c>
      <c r="D115" s="16">
        <v>1.6308108108108117</v>
      </c>
      <c r="E115" s="48">
        <v>1.58</v>
      </c>
      <c r="F115" s="16">
        <v>1.59</v>
      </c>
      <c r="G115" s="74">
        <f>AVERAGE(C115:F115)</f>
        <v>1.5477027027027004</v>
      </c>
    </row>
    <row r="116" spans="1:9" x14ac:dyDescent="0.25">
      <c r="B116" s="36" t="s">
        <v>58</v>
      </c>
      <c r="C116" s="16">
        <v>1.38851851851851</v>
      </c>
      <c r="D116" s="16">
        <v>1.6311340206185572</v>
      </c>
      <c r="E116" s="48">
        <v>1.58</v>
      </c>
      <c r="F116" s="16">
        <v>1.59</v>
      </c>
      <c r="G116" s="74">
        <f>AVERAGE(C116:F116)</f>
        <v>1.5474131347842668</v>
      </c>
    </row>
    <row r="117" spans="1:9" x14ac:dyDescent="0.25">
      <c r="B117" s="36" t="s">
        <v>59</v>
      </c>
      <c r="C117" s="16">
        <v>1.3767986798679801</v>
      </c>
      <c r="D117" s="16">
        <v>1.6307617187499965</v>
      </c>
      <c r="E117" s="48">
        <v>1.58</v>
      </c>
      <c r="F117" s="16">
        <v>1.59</v>
      </c>
      <c r="G117" s="74">
        <f>AVERAGE(C117:F117)</f>
        <v>1.5443900996544941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16">
        <v>0</v>
      </c>
      <c r="D119" s="16">
        <v>1.1556521739130432</v>
      </c>
      <c r="E119" s="37">
        <v>0</v>
      </c>
      <c r="F119" s="16">
        <v>0.99</v>
      </c>
      <c r="G119" s="74">
        <f>AVERAGE(C119:F119)</f>
        <v>0.5364130434782608</v>
      </c>
      <c r="I119" s="10"/>
    </row>
    <row r="120" spans="1:9" x14ac:dyDescent="0.25">
      <c r="B120" s="36" t="s">
        <v>58</v>
      </c>
      <c r="C120" s="16">
        <v>0.99</v>
      </c>
      <c r="D120" s="16">
        <v>1.1556521739130432</v>
      </c>
      <c r="E120" s="45">
        <v>1.2</v>
      </c>
      <c r="F120" s="16">
        <v>1.3899999999999899</v>
      </c>
      <c r="G120" s="74">
        <f>AVERAGE(C120:F120)</f>
        <v>1.1839130434782583</v>
      </c>
      <c r="I120" s="10"/>
    </row>
    <row r="121" spans="1:9" x14ac:dyDescent="0.25">
      <c r="B121" s="36" t="s">
        <v>59</v>
      </c>
      <c r="C121" s="16">
        <v>0.99</v>
      </c>
      <c r="D121" s="16">
        <v>1.1556521739130432</v>
      </c>
      <c r="E121" s="45">
        <v>1.2</v>
      </c>
      <c r="F121" s="16">
        <v>1.3899999999999899</v>
      </c>
      <c r="G121" s="74">
        <f>AVERAGE(C121:F121)</f>
        <v>1.1839130434782583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16">
        <v>0</v>
      </c>
      <c r="D124" s="31">
        <v>0</v>
      </c>
      <c r="E124" s="23">
        <v>0</v>
      </c>
      <c r="F124" s="23">
        <v>0</v>
      </c>
      <c r="G124" s="40">
        <f>AVERAGE(C124:F124)</f>
        <v>0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95">
        <v>1.7736695971582701</v>
      </c>
      <c r="D126" s="65">
        <v>1.9942315564098201</v>
      </c>
      <c r="E126" s="127">
        <v>2.0248439999999999</v>
      </c>
      <c r="F126" s="14">
        <v>0</v>
      </c>
      <c r="G126" s="40">
        <f>AVERAGE(C126:F126)</f>
        <v>1.4481862883920225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77"/>
      <c r="G128" s="153"/>
    </row>
    <row r="129" spans="1:9" x14ac:dyDescent="0.25">
      <c r="B129" s="36" t="s">
        <v>68</v>
      </c>
      <c r="C129" s="124">
        <v>316238</v>
      </c>
      <c r="D129" s="41">
        <v>10983</v>
      </c>
      <c r="E129" s="41">
        <v>8645</v>
      </c>
      <c r="F129" s="41">
        <v>1085</v>
      </c>
      <c r="G129" s="79">
        <f>SUM(C129:F129)</f>
        <v>336951</v>
      </c>
    </row>
    <row r="130" spans="1:9" x14ac:dyDescent="0.25">
      <c r="B130" s="36" t="s">
        <v>69</v>
      </c>
      <c r="C130" s="124">
        <v>186228.368475</v>
      </c>
      <c r="D130" s="41">
        <v>4363.0451890000004</v>
      </c>
      <c r="E130" s="41">
        <v>1252</v>
      </c>
      <c r="F130" s="41">
        <v>1386.5989790000001</v>
      </c>
      <c r="G130" s="80">
        <f>SUM(C130:F130)</f>
        <v>193230.01264299999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41">
        <v>673360</v>
      </c>
      <c r="D133" s="41">
        <v>190247</v>
      </c>
      <c r="E133" s="81">
        <f>25296+119187</f>
        <v>144483</v>
      </c>
      <c r="F133" s="41">
        <v>343784</v>
      </c>
      <c r="G133" s="39">
        <f>SUM(C133:F133)</f>
        <v>1351874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39">
        <v>0</v>
      </c>
      <c r="D137" s="41">
        <v>6723</v>
      </c>
      <c r="E137" s="39">
        <v>0</v>
      </c>
      <c r="F137" s="41">
        <v>15681</v>
      </c>
      <c r="G137" s="41">
        <f>SUM(C137:F137)</f>
        <v>22404</v>
      </c>
      <c r="H137" s="9"/>
      <c r="I137" s="9"/>
    </row>
    <row r="138" spans="1:9" x14ac:dyDescent="0.25">
      <c r="B138" s="36" t="s">
        <v>75</v>
      </c>
      <c r="C138" s="39">
        <v>0</v>
      </c>
      <c r="D138" s="41">
        <v>12</v>
      </c>
      <c r="E138" s="39">
        <v>0</v>
      </c>
      <c r="F138" s="41">
        <v>242</v>
      </c>
      <c r="G138" s="41">
        <f>SUM(C138:F138)</f>
        <v>254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41">
        <v>97</v>
      </c>
      <c r="D147" s="41">
        <v>635</v>
      </c>
      <c r="E147" s="63">
        <v>0</v>
      </c>
      <c r="F147" s="1">
        <v>474</v>
      </c>
      <c r="G147" s="39">
        <f>SUM(C147:F147)</f>
        <v>1206</v>
      </c>
    </row>
    <row r="148" spans="1:8" x14ac:dyDescent="0.25">
      <c r="B148" s="36" t="s">
        <v>82</v>
      </c>
      <c r="C148" s="41">
        <f>2056000/1000000</f>
        <v>2.056</v>
      </c>
      <c r="D148" s="41">
        <v>12.347</v>
      </c>
      <c r="E148" s="49">
        <v>0</v>
      </c>
      <c r="F148" s="43">
        <v>5.6817500000000001</v>
      </c>
      <c r="G148" s="13">
        <f>SUM(C148:F148)</f>
        <v>20.08475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15">
        <v>609</v>
      </c>
      <c r="E151" s="93">
        <v>0</v>
      </c>
      <c r="F151" s="33">
        <v>0</v>
      </c>
      <c r="G151" s="39">
        <f>SUM(C151:F151)</f>
        <v>609</v>
      </c>
      <c r="H151" s="26"/>
    </row>
    <row r="152" spans="1:8" x14ac:dyDescent="0.25">
      <c r="B152" s="36" t="s">
        <v>85</v>
      </c>
      <c r="C152" s="36">
        <v>0</v>
      </c>
      <c r="D152" s="15">
        <v>59.865000000000002</v>
      </c>
      <c r="E152" s="91">
        <f>45000/1000000</f>
        <v>4.4999999999999998E-2</v>
      </c>
      <c r="F152" s="33">
        <v>0</v>
      </c>
      <c r="G152" s="13">
        <f>SUM(C152:F152)</f>
        <v>59.910000000000004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107</v>
      </c>
      <c r="E155" s="53">
        <v>0</v>
      </c>
      <c r="F155" s="53">
        <v>0</v>
      </c>
      <c r="G155" s="39">
        <f>SUM(C155:F155)</f>
        <v>107</v>
      </c>
      <c r="H155" s="26"/>
    </row>
    <row r="156" spans="1:8" x14ac:dyDescent="0.25">
      <c r="B156" s="36" t="s">
        <v>88</v>
      </c>
      <c r="C156" s="13">
        <v>0</v>
      </c>
      <c r="D156" s="41">
        <v>1.7</v>
      </c>
      <c r="E156" s="49">
        <v>0</v>
      </c>
      <c r="F156" s="53">
        <v>0</v>
      </c>
      <c r="G156" s="13">
        <f>SUM(C156:F156)</f>
        <v>1.7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2">
        <f>+C155+C151+C147</f>
        <v>97</v>
      </c>
      <c r="D159" s="22">
        <f>D147+D151+D155</f>
        <v>1351</v>
      </c>
      <c r="E159" s="72">
        <f>+E155+E151+E147</f>
        <v>0</v>
      </c>
      <c r="F159" s="22">
        <f>+F147+F155</f>
        <v>474</v>
      </c>
      <c r="G159" s="22">
        <f>SUM(C159:F159)</f>
        <v>1922</v>
      </c>
    </row>
    <row r="160" spans="1:8" x14ac:dyDescent="0.25">
      <c r="B160" s="21" t="s">
        <v>91</v>
      </c>
      <c r="C160" s="22">
        <f>+C156+C152+C148</f>
        <v>2.056</v>
      </c>
      <c r="D160" s="22">
        <f>D148+D152+D156</f>
        <v>73.912000000000006</v>
      </c>
      <c r="E160" s="72">
        <f>+E156+E152+E148</f>
        <v>4.4999999999999998E-2</v>
      </c>
      <c r="F160" s="72">
        <f>+F148+F156</f>
        <v>5.6817500000000001</v>
      </c>
      <c r="G160" s="25">
        <f>SUM(C160:F160)</f>
        <v>81.694749999999999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41">
        <v>1923</v>
      </c>
      <c r="D163" s="41">
        <v>34348</v>
      </c>
      <c r="E163" s="41">
        <v>2611</v>
      </c>
      <c r="F163" s="41">
        <v>12146</v>
      </c>
      <c r="G163" s="39">
        <f>SUM(C163:F163)</f>
        <v>51028</v>
      </c>
    </row>
    <row r="164" spans="1:8" x14ac:dyDescent="0.25">
      <c r="B164" s="17" t="s">
        <v>88</v>
      </c>
      <c r="C164" s="41">
        <f>55812255/1000000</f>
        <v>55.812255</v>
      </c>
      <c r="D164" s="41">
        <v>176.570933</v>
      </c>
      <c r="E164" s="41">
        <f>36518342/1000000</f>
        <v>36.518341999999997</v>
      </c>
      <c r="F164" s="41">
        <v>69.020285000000001</v>
      </c>
      <c r="G164" s="13">
        <f>SUM(C164:F164)</f>
        <v>337.92181499999998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66"/>
      <c r="G167" s="151"/>
    </row>
    <row r="168" spans="1:8" x14ac:dyDescent="0.25">
      <c r="B168" s="36" t="s">
        <v>95</v>
      </c>
      <c r="C168" s="58">
        <v>89</v>
      </c>
      <c r="D168" s="41">
        <v>1499</v>
      </c>
      <c r="E168" s="41">
        <v>14</v>
      </c>
      <c r="F168" s="41">
        <v>394</v>
      </c>
      <c r="G168" s="79">
        <f>SUM(C168:F168)</f>
        <v>1996</v>
      </c>
    </row>
    <row r="169" spans="1:8" x14ac:dyDescent="0.25">
      <c r="B169" s="36" t="s">
        <v>96</v>
      </c>
      <c r="C169" s="58">
        <f>2225000/1000000</f>
        <v>2.2250000000000001</v>
      </c>
      <c r="D169" s="41">
        <v>22.65</v>
      </c>
      <c r="E169" s="41">
        <f>280000/1000000</f>
        <v>0.28000000000000003</v>
      </c>
      <c r="F169" s="41">
        <v>14.161</v>
      </c>
      <c r="G169" s="80">
        <f>SUM(C169:F169)</f>
        <v>39.316000000000003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66"/>
      <c r="G171" s="151"/>
    </row>
    <row r="172" spans="1:8" x14ac:dyDescent="0.25">
      <c r="B172" s="36" t="s">
        <v>98</v>
      </c>
      <c r="C172" s="58">
        <v>1382</v>
      </c>
      <c r="D172" s="41">
        <v>480</v>
      </c>
      <c r="E172" s="41">
        <v>134</v>
      </c>
      <c r="F172" s="41">
        <v>339</v>
      </c>
      <c r="G172" s="79">
        <f>SUM(C172:F172)</f>
        <v>2335</v>
      </c>
    </row>
    <row r="173" spans="1:8" x14ac:dyDescent="0.25">
      <c r="B173" s="36" t="s">
        <v>96</v>
      </c>
      <c r="C173" s="58">
        <f>30404000/1000000</f>
        <v>30.404</v>
      </c>
      <c r="D173" s="41">
        <v>10.055999999999999</v>
      </c>
      <c r="E173" s="41">
        <f>3350000/1000000</f>
        <v>3.35</v>
      </c>
      <c r="F173" s="41">
        <v>7.4020000000000001</v>
      </c>
      <c r="G173" s="80">
        <f>SUM(C173:F173)</f>
        <v>51.212000000000003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74" t="s">
        <v>99</v>
      </c>
      <c r="C175" s="175"/>
      <c r="D175" s="175"/>
      <c r="E175" s="175"/>
      <c r="F175" s="178"/>
      <c r="G175" s="176"/>
    </row>
    <row r="176" spans="1:8" x14ac:dyDescent="0.25">
      <c r="B176" s="6" t="s">
        <v>98</v>
      </c>
      <c r="C176" s="68">
        <v>347</v>
      </c>
      <c r="D176" s="41">
        <v>338</v>
      </c>
      <c r="E176" s="41">
        <v>230</v>
      </c>
      <c r="F176" s="41">
        <v>60</v>
      </c>
      <c r="G176" s="104">
        <f>SUM(C176:F176)</f>
        <v>975</v>
      </c>
    </row>
    <row r="177" spans="1:8" x14ac:dyDescent="0.25">
      <c r="B177" s="36" t="s">
        <v>96</v>
      </c>
      <c r="C177" s="68">
        <f>24290000/1000000</f>
        <v>24.29</v>
      </c>
      <c r="D177" s="41">
        <v>27.42</v>
      </c>
      <c r="E177" s="41">
        <f>13549314/1000000</f>
        <v>13.549314000000001</v>
      </c>
      <c r="F177" s="41">
        <v>6.04</v>
      </c>
      <c r="G177" s="90">
        <f>SUM(C177:F177)</f>
        <v>71.29931400000001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68">
        <v>300</v>
      </c>
      <c r="D180" s="41">
        <v>2269</v>
      </c>
      <c r="E180" s="76">
        <f>+E176+E172+E168+E164</f>
        <v>414.51834200000002</v>
      </c>
      <c r="F180" s="41">
        <f>+F176+F172+F168+F164</f>
        <v>862.02028500000006</v>
      </c>
      <c r="G180" s="39">
        <f>SUM(C180:F180)</f>
        <v>3845.5386269999999</v>
      </c>
    </row>
    <row r="181" spans="1:8" x14ac:dyDescent="0.25">
      <c r="B181" s="36" t="s">
        <v>96</v>
      </c>
      <c r="C181" s="68">
        <f>9195000/1000000</f>
        <v>9.1950000000000003</v>
      </c>
      <c r="D181" s="41">
        <v>128.34182999999999</v>
      </c>
      <c r="E181" s="68">
        <f>+E177+E173+E169+E165</f>
        <v>17.179314000000002</v>
      </c>
      <c r="F181" s="68">
        <f>+F177+F173+F169+F165</f>
        <v>27.603000000000002</v>
      </c>
      <c r="G181" s="13">
        <f>SUM(C181:F181)</f>
        <v>182.31914399999999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69">
        <v>2118</v>
      </c>
      <c r="D184" s="69">
        <f>D168+D172+D176+D180</f>
        <v>4586</v>
      </c>
      <c r="E184" s="69">
        <f t="shared" ref="E184:E185" si="4">+E180+E176+E172+E168</f>
        <v>792.51834200000008</v>
      </c>
      <c r="F184" s="22">
        <f>+F168+F172+F176+F180</f>
        <v>1655.0202850000001</v>
      </c>
      <c r="G184" s="22">
        <f>SUM(C184:F184)</f>
        <v>9151.5386269999999</v>
      </c>
    </row>
    <row r="185" spans="1:8" x14ac:dyDescent="0.25">
      <c r="B185" s="21" t="s">
        <v>103</v>
      </c>
      <c r="C185" s="69">
        <f>66114000/1000000</f>
        <v>66.114000000000004</v>
      </c>
      <c r="D185" s="69">
        <f>D169+D173+D177+D181</f>
        <v>188.46782999999999</v>
      </c>
      <c r="E185" s="69">
        <f t="shared" si="4"/>
        <v>34.358628000000003</v>
      </c>
      <c r="F185" s="22">
        <f>+F169+F173+F177+F181</f>
        <v>55.206000000000003</v>
      </c>
      <c r="G185" s="25">
        <f>SUM(C185:F185)</f>
        <v>344.146458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36">
        <v>218</v>
      </c>
      <c r="D188" s="41">
        <v>373</v>
      </c>
      <c r="E188" s="41">
        <v>56</v>
      </c>
      <c r="F188" s="41">
        <f>F167+F172+F176+F180+F163</f>
        <v>13407.020285000001</v>
      </c>
      <c r="G188" s="39">
        <f>SUM(C188:F188)</f>
        <v>14054.020285000001</v>
      </c>
    </row>
    <row r="189" spans="1:8" x14ac:dyDescent="0.25">
      <c r="B189" s="17" t="s">
        <v>106</v>
      </c>
      <c r="C189" s="34">
        <f>2622985/1000000</f>
        <v>2.6229849999999999</v>
      </c>
      <c r="D189" s="41">
        <v>4.5494009999999996</v>
      </c>
      <c r="E189" s="41">
        <f>2310000/1000000</f>
        <v>2.31</v>
      </c>
      <c r="F189" s="41">
        <f>F168+F173+F177+F181+F164</f>
        <v>504.06528500000002</v>
      </c>
      <c r="G189" s="13">
        <f>SUM(C189:F189)</f>
        <v>513.54767100000004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4356</v>
      </c>
      <c r="D192" s="22">
        <f>+D188+D184+D163+D159</f>
        <v>40658</v>
      </c>
      <c r="E192" s="22">
        <f t="shared" ref="E192:E193" si="5">+E188+E184+E163+E159</f>
        <v>3459.5183420000003</v>
      </c>
      <c r="F192" s="22">
        <f>F159+F163+F184+F188</f>
        <v>27682.040570000001</v>
      </c>
      <c r="G192" s="22">
        <f>SUM(C192:F192)</f>
        <v>76155.558912000008</v>
      </c>
    </row>
    <row r="193" spans="2:7" x14ac:dyDescent="0.25">
      <c r="B193" s="21" t="s">
        <v>109</v>
      </c>
      <c r="C193" s="22">
        <f>126605240/1000000</f>
        <v>126.60523999999999</v>
      </c>
      <c r="D193" s="22">
        <f>+D189+D185+D164+D160</f>
        <v>443.50016400000004</v>
      </c>
      <c r="E193" s="22">
        <f t="shared" si="5"/>
        <v>73.231970000000004</v>
      </c>
      <c r="F193" s="22">
        <f>F160+F185+F164+F189</f>
        <v>633.97332000000006</v>
      </c>
      <c r="G193" s="25">
        <f>SUM(C193:F193)</f>
        <v>1277.3106940000002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1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2:G52"/>
    <mergeCell ref="B32:G32"/>
    <mergeCell ref="B36:H36"/>
    <mergeCell ref="B37:G37"/>
    <mergeCell ref="B38:G38"/>
    <mergeCell ref="B41:H41"/>
    <mergeCell ref="B42:G42"/>
    <mergeCell ref="B45:H45"/>
    <mergeCell ref="B46:G46"/>
    <mergeCell ref="B49:H49"/>
    <mergeCell ref="B50:G50"/>
    <mergeCell ref="B51:H51"/>
    <mergeCell ref="B104:G104"/>
    <mergeCell ref="B53:G53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132:G132"/>
    <mergeCell ref="B105:G105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50:G150"/>
    <mergeCell ref="B134:H134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74:H174"/>
    <mergeCell ref="B153:H153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87:G187"/>
    <mergeCell ref="B190:H190"/>
    <mergeCell ref="B191:G191"/>
    <mergeCell ref="B175:G175"/>
    <mergeCell ref="B178:H178"/>
    <mergeCell ref="B179:G179"/>
    <mergeCell ref="B182:H182"/>
    <mergeCell ref="B183:G183"/>
    <mergeCell ref="B186:H18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36F61-454F-4F7D-B659-A479731E2D34}">
  <dimension ref="A1:BD197"/>
  <sheetViews>
    <sheetView topLeftCell="B36" zoomScaleNormal="100" workbookViewId="0">
      <selection activeCell="D44" sqref="D44"/>
    </sheetView>
  </sheetViews>
  <sheetFormatPr baseColWidth="10" defaultColWidth="9.140625" defaultRowHeight="15" x14ac:dyDescent="0.25"/>
  <cols>
    <col min="1" max="1" width="4.140625" style="1" customWidth="1"/>
    <col min="2" max="2" width="75.140625" bestFit="1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9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140" t="s">
        <v>1</v>
      </c>
      <c r="D2" s="141"/>
      <c r="E2" s="141"/>
      <c r="F2" s="141"/>
      <c r="G2" s="142"/>
    </row>
    <row r="3" spans="1:7" ht="21" x14ac:dyDescent="0.35">
      <c r="B3" s="1"/>
      <c r="C3" s="7" t="s">
        <v>2</v>
      </c>
      <c r="D3" s="7" t="s">
        <v>3</v>
      </c>
      <c r="E3" s="8" t="s">
        <v>111</v>
      </c>
      <c r="F3" s="7" t="s">
        <v>5</v>
      </c>
      <c r="G3" s="18" t="s">
        <v>6</v>
      </c>
    </row>
    <row r="4" spans="1:7" ht="21" x14ac:dyDescent="0.35">
      <c r="B4" s="143" t="s">
        <v>7</v>
      </c>
      <c r="C4" s="144"/>
      <c r="D4" s="144"/>
      <c r="E4" s="144"/>
      <c r="F4" s="144"/>
      <c r="G4" s="145"/>
    </row>
    <row r="5" spans="1:7" x14ac:dyDescent="0.25">
      <c r="B5" s="146" t="s">
        <v>8</v>
      </c>
      <c r="C5" s="147"/>
      <c r="D5" s="147"/>
      <c r="E5" s="147"/>
      <c r="F5" s="147"/>
      <c r="G5" s="148"/>
    </row>
    <row r="6" spans="1:7" x14ac:dyDescent="0.25">
      <c r="B6" s="6" t="s">
        <v>9</v>
      </c>
      <c r="C6" s="15">
        <v>56205</v>
      </c>
      <c r="D6" s="41">
        <v>8298</v>
      </c>
      <c r="E6" s="20">
        <v>9491</v>
      </c>
      <c r="F6" s="15">
        <v>10786</v>
      </c>
      <c r="G6" s="15">
        <f>+F6+E6+D6+C6</f>
        <v>84780</v>
      </c>
    </row>
    <row r="7" spans="1:7" x14ac:dyDescent="0.25">
      <c r="B7" s="36" t="s">
        <v>10</v>
      </c>
      <c r="C7" s="15">
        <v>526</v>
      </c>
      <c r="D7" s="41">
        <v>229</v>
      </c>
      <c r="E7" s="20">
        <v>11</v>
      </c>
      <c r="F7" s="15">
        <v>131</v>
      </c>
      <c r="G7" s="15">
        <f>+F7+E7+D7+C7</f>
        <v>897</v>
      </c>
    </row>
    <row r="8" spans="1:7" x14ac:dyDescent="0.25">
      <c r="B8" s="21" t="s">
        <v>11</v>
      </c>
      <c r="C8" s="30">
        <f>SUM(C6:C7)</f>
        <v>56731</v>
      </c>
      <c r="D8" s="30">
        <f>+D6+D7</f>
        <v>8527</v>
      </c>
      <c r="E8" s="30">
        <f>SUM(E6:E7)</f>
        <v>9502</v>
      </c>
      <c r="F8" s="30">
        <f>SUM(F6:F7)</f>
        <v>10917</v>
      </c>
      <c r="G8" s="30">
        <f>+F8+E8+D8+C8</f>
        <v>85677</v>
      </c>
    </row>
    <row r="9" spans="1:7" x14ac:dyDescent="0.25">
      <c r="B9" s="179"/>
      <c r="C9" s="179"/>
      <c r="D9" s="179"/>
      <c r="E9" s="179"/>
      <c r="F9" s="179"/>
      <c r="G9" s="179"/>
    </row>
    <row r="10" spans="1:7" x14ac:dyDescent="0.25">
      <c r="B10" s="146" t="s">
        <v>12</v>
      </c>
      <c r="C10" s="147"/>
      <c r="D10" s="147"/>
      <c r="E10" s="147"/>
      <c r="F10" s="147"/>
      <c r="G10" s="148"/>
    </row>
    <row r="11" spans="1:7" x14ac:dyDescent="0.25">
      <c r="B11" s="149" t="s">
        <v>13</v>
      </c>
      <c r="C11" s="150"/>
      <c r="D11" s="150"/>
      <c r="E11" s="150"/>
      <c r="F11" s="150"/>
      <c r="G11" s="151"/>
    </row>
    <row r="12" spans="1:7" x14ac:dyDescent="0.25">
      <c r="B12" s="19" t="s">
        <v>14</v>
      </c>
      <c r="C12" s="15">
        <v>929235</v>
      </c>
      <c r="D12" s="66">
        <v>146278</v>
      </c>
      <c r="E12" s="81">
        <v>54909</v>
      </c>
      <c r="F12" s="20"/>
      <c r="G12" s="20">
        <f>SUM(C12:F12)</f>
        <v>1130422</v>
      </c>
    </row>
    <row r="13" spans="1:7" x14ac:dyDescent="0.25">
      <c r="B13" s="19" t="s">
        <v>15</v>
      </c>
      <c r="C13" s="15">
        <v>1950973</v>
      </c>
      <c r="D13" s="66">
        <v>481817</v>
      </c>
      <c r="E13" s="81">
        <v>200148</v>
      </c>
      <c r="F13" s="20"/>
      <c r="G13" s="20">
        <f>SUM(C13:F13)</f>
        <v>2632938</v>
      </c>
    </row>
    <row r="14" spans="1:7" x14ac:dyDescent="0.25">
      <c r="B14" s="21" t="s">
        <v>16</v>
      </c>
      <c r="C14" s="69">
        <v>2880208</v>
      </c>
      <c r="D14" s="69">
        <v>902498</v>
      </c>
      <c r="E14" s="69">
        <f>SUM(E12:E13)</f>
        <v>255057</v>
      </c>
      <c r="F14" s="69">
        <v>349154</v>
      </c>
      <c r="G14" s="22">
        <f>SUM(C14:F14)</f>
        <v>4386917</v>
      </c>
    </row>
    <row r="15" spans="1:7" x14ac:dyDescent="0.25">
      <c r="B15" s="21" t="s">
        <v>17</v>
      </c>
      <c r="C15" s="100">
        <v>387721</v>
      </c>
      <c r="D15" s="69">
        <v>138888</v>
      </c>
      <c r="E15" s="69">
        <v>2783</v>
      </c>
      <c r="F15" s="69">
        <v>83354</v>
      </c>
      <c r="G15" s="22">
        <f>SUM(C15:F15)</f>
        <v>612746</v>
      </c>
    </row>
    <row r="16" spans="1:7" x14ac:dyDescent="0.25">
      <c r="B16" s="21" t="s">
        <v>18</v>
      </c>
      <c r="C16" s="69">
        <f>C15+C14</f>
        <v>3267929</v>
      </c>
      <c r="D16" s="69">
        <f>+D14+D15</f>
        <v>1041386</v>
      </c>
      <c r="E16" s="69">
        <f>SUM(E14:E15)</f>
        <v>257840</v>
      </c>
      <c r="F16" s="69">
        <f>SUM(F12:F15)</f>
        <v>432508</v>
      </c>
      <c r="G16" s="22">
        <f>SUM(C16:F16)</f>
        <v>4999663</v>
      </c>
    </row>
    <row r="17" spans="2:8" x14ac:dyDescent="0.25">
      <c r="B17" s="139"/>
      <c r="C17" s="139"/>
      <c r="D17" s="139"/>
      <c r="E17" s="139"/>
      <c r="F17" s="139"/>
      <c r="G17" s="139"/>
    </row>
    <row r="18" spans="2:8" x14ac:dyDescent="0.25">
      <c r="B18" s="149" t="s">
        <v>19</v>
      </c>
      <c r="C18" s="150"/>
      <c r="D18" s="150"/>
      <c r="E18" s="150"/>
      <c r="F18" s="150"/>
      <c r="G18" s="151"/>
    </row>
    <row r="19" spans="2:8" x14ac:dyDescent="0.25">
      <c r="B19" s="17" t="s">
        <v>20</v>
      </c>
      <c r="C19" s="129">
        <v>3782</v>
      </c>
      <c r="D19" s="41">
        <v>2572</v>
      </c>
      <c r="E19" s="28">
        <v>0</v>
      </c>
      <c r="F19" s="28">
        <v>0</v>
      </c>
      <c r="G19" s="76">
        <f>SUM(C19:F19)</f>
        <v>6354</v>
      </c>
    </row>
    <row r="20" spans="2:8" x14ac:dyDescent="0.25">
      <c r="B20" s="170"/>
      <c r="C20" s="170"/>
      <c r="D20" s="170"/>
      <c r="E20" s="170"/>
      <c r="F20" s="170"/>
      <c r="G20" s="170"/>
    </row>
    <row r="21" spans="2:8" x14ac:dyDescent="0.25">
      <c r="B21" s="21" t="s">
        <v>21</v>
      </c>
      <c r="C21" s="69">
        <f>+C19+C16</f>
        <v>3271711</v>
      </c>
      <c r="D21" s="69">
        <v>1043958</v>
      </c>
      <c r="E21" s="69">
        <f>+E19+E16</f>
        <v>257840</v>
      </c>
      <c r="F21" s="22">
        <f>F16</f>
        <v>432508</v>
      </c>
      <c r="G21" s="22">
        <f>SUM(C21:F21)</f>
        <v>5006017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7" t="s">
        <v>22</v>
      </c>
      <c r="C23" s="11"/>
      <c r="D23" s="11"/>
      <c r="E23" s="11"/>
      <c r="F23" s="11"/>
      <c r="G23" s="12"/>
    </row>
    <row r="24" spans="2:8" x14ac:dyDescent="0.25">
      <c r="B24" s="21" t="s">
        <v>23</v>
      </c>
      <c r="C24" s="22">
        <v>413140</v>
      </c>
      <c r="D24" s="22">
        <v>229373</v>
      </c>
      <c r="E24" s="22">
        <v>138117</v>
      </c>
      <c r="F24" s="22">
        <v>662955</v>
      </c>
      <c r="G24" s="69">
        <f>SUM(C24:F24)</f>
        <v>1443585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7" t="s">
        <v>24</v>
      </c>
      <c r="C26" s="11"/>
      <c r="D26" s="11"/>
      <c r="E26" s="11"/>
      <c r="F26" s="11"/>
      <c r="G26" s="12"/>
    </row>
    <row r="27" spans="2:8" x14ac:dyDescent="0.25">
      <c r="B27" s="21" t="s">
        <v>25</v>
      </c>
      <c r="C27" s="22">
        <f>+C24+C21</f>
        <v>3684851</v>
      </c>
      <c r="D27" s="22">
        <f>+D24+D21</f>
        <v>1273331</v>
      </c>
      <c r="E27" s="22">
        <f>+E21+E24</f>
        <v>395957</v>
      </c>
      <c r="F27" s="22">
        <f>+F24+F21</f>
        <v>1095463</v>
      </c>
      <c r="G27" s="22">
        <f>SUM(C27:F27)</f>
        <v>6449602</v>
      </c>
    </row>
    <row r="28" spans="2:8" x14ac:dyDescent="0.25">
      <c r="B28" s="139"/>
      <c r="C28" s="139"/>
      <c r="D28" s="139"/>
      <c r="E28" s="139"/>
      <c r="F28" s="139"/>
      <c r="G28" s="139"/>
      <c r="H28" s="139"/>
    </row>
    <row r="29" spans="2:8" x14ac:dyDescent="0.25">
      <c r="B29" s="171" t="s">
        <v>26</v>
      </c>
      <c r="C29" s="172"/>
      <c r="D29" s="172"/>
      <c r="E29" s="172"/>
      <c r="F29" s="172"/>
      <c r="G29" s="173"/>
    </row>
    <row r="30" spans="2:8" x14ac:dyDescent="0.25">
      <c r="B30" s="6" t="s">
        <v>27</v>
      </c>
      <c r="C30" s="41">
        <v>1360500</v>
      </c>
      <c r="D30" s="41">
        <v>238571</v>
      </c>
      <c r="E30" s="81">
        <v>98595</v>
      </c>
      <c r="F30" s="41">
        <v>230423</v>
      </c>
      <c r="G30" s="88">
        <f>SUM(C30:F30)</f>
        <v>1928089</v>
      </c>
    </row>
    <row r="31" spans="2:8" x14ac:dyDescent="0.25">
      <c r="B31" s="139"/>
      <c r="C31" s="139"/>
      <c r="D31" s="139"/>
      <c r="E31" s="139"/>
      <c r="F31" s="139"/>
      <c r="G31" s="139"/>
      <c r="H31" s="139"/>
    </row>
    <row r="32" spans="2:8" x14ac:dyDescent="0.25">
      <c r="B32" s="146" t="s">
        <v>28</v>
      </c>
      <c r="C32" s="147"/>
      <c r="D32" s="147"/>
      <c r="E32" s="147"/>
      <c r="F32" s="147"/>
      <c r="G32" s="148"/>
    </row>
    <row r="33" spans="1:9" x14ac:dyDescent="0.25">
      <c r="B33" s="36" t="s">
        <v>29</v>
      </c>
      <c r="C33" s="41">
        <v>2580832071222</v>
      </c>
      <c r="D33" s="41">
        <v>466910715995</v>
      </c>
      <c r="E33" s="81">
        <v>193778175798</v>
      </c>
      <c r="F33" s="41">
        <v>298993947824</v>
      </c>
      <c r="G33" s="41">
        <f>SUM(C33:F33)</f>
        <v>3540514910839</v>
      </c>
    </row>
    <row r="34" spans="1:9" x14ac:dyDescent="0.25">
      <c r="B34" s="36" t="s">
        <v>30</v>
      </c>
      <c r="C34" s="41">
        <v>121681326294</v>
      </c>
      <c r="D34" s="41">
        <v>59313305325</v>
      </c>
      <c r="E34" s="81">
        <v>29771143900</v>
      </c>
      <c r="F34" s="41">
        <v>119999464356</v>
      </c>
      <c r="G34" s="41">
        <f>SUM(C34:F34)</f>
        <v>330765239875</v>
      </c>
    </row>
    <row r="35" spans="1:9" x14ac:dyDescent="0.25">
      <c r="B35" s="21" t="s">
        <v>31</v>
      </c>
      <c r="C35" s="22">
        <f>SUM(C33:C34)</f>
        <v>2702513397516</v>
      </c>
      <c r="D35" s="22">
        <f>+D34+D33</f>
        <v>526224021320</v>
      </c>
      <c r="E35" s="22">
        <f>+E33+E34</f>
        <v>223549319698</v>
      </c>
      <c r="F35" s="22">
        <f>SUM(F33:F34)</f>
        <v>418993412180</v>
      </c>
      <c r="G35" s="22">
        <f>SUM(C35:F35)</f>
        <v>3871280150714</v>
      </c>
    </row>
    <row r="36" spans="1:9" x14ac:dyDescent="0.25">
      <c r="B36" s="139"/>
      <c r="C36" s="139"/>
      <c r="D36" s="139"/>
      <c r="E36" s="139"/>
      <c r="F36" s="139"/>
      <c r="G36" s="139"/>
      <c r="H36" s="139"/>
    </row>
    <row r="37" spans="1:9" ht="21" x14ac:dyDescent="0.35">
      <c r="B37" s="143" t="s">
        <v>32</v>
      </c>
      <c r="C37" s="144"/>
      <c r="D37" s="144"/>
      <c r="E37" s="144"/>
      <c r="F37" s="144"/>
      <c r="G37" s="145"/>
    </row>
    <row r="38" spans="1:9" x14ac:dyDescent="0.25">
      <c r="B38" s="146" t="s">
        <v>33</v>
      </c>
      <c r="C38" s="147"/>
      <c r="D38" s="147"/>
      <c r="E38" s="147"/>
      <c r="F38" s="147"/>
      <c r="G38" s="148"/>
    </row>
    <row r="39" spans="1:9" x14ac:dyDescent="0.25">
      <c r="B39" s="36" t="s">
        <v>34</v>
      </c>
      <c r="C39" s="41">
        <v>686827</v>
      </c>
      <c r="D39" s="41">
        <v>147376</v>
      </c>
      <c r="E39" s="81">
        <v>56245</v>
      </c>
      <c r="F39" s="41">
        <v>74236</v>
      </c>
      <c r="G39" s="39">
        <f>SUM(C39:F39)</f>
        <v>964684</v>
      </c>
      <c r="H39" s="9"/>
      <c r="I39" s="9"/>
    </row>
    <row r="40" spans="1:9" x14ac:dyDescent="0.25">
      <c r="B40" s="36" t="s">
        <v>35</v>
      </c>
      <c r="C40" s="41">
        <f>2346208837/1000000</f>
        <v>2346.2088370000001</v>
      </c>
      <c r="D40" s="34">
        <v>814.577</v>
      </c>
      <c r="E40" s="81">
        <v>337</v>
      </c>
      <c r="F40" s="15">
        <v>429.05621600000001</v>
      </c>
      <c r="G40" s="13">
        <f>SUM(C40:F40)</f>
        <v>3926.8420530000003</v>
      </c>
      <c r="H40" s="9"/>
      <c r="I40" s="9"/>
    </row>
    <row r="41" spans="1:9" x14ac:dyDescent="0.25">
      <c r="A41" s="4"/>
      <c r="B41" s="139"/>
      <c r="C41" s="139"/>
      <c r="D41" s="139"/>
      <c r="E41" s="139"/>
      <c r="F41" s="139"/>
      <c r="G41" s="139"/>
      <c r="H41" s="139"/>
      <c r="I41" s="9"/>
    </row>
    <row r="42" spans="1:9" x14ac:dyDescent="0.25">
      <c r="B42" s="153" t="s">
        <v>36</v>
      </c>
      <c r="C42" s="153"/>
      <c r="D42" s="153"/>
      <c r="E42" s="153"/>
      <c r="F42" s="153"/>
      <c r="G42" s="153"/>
      <c r="I42" s="9"/>
    </row>
    <row r="43" spans="1:9" x14ac:dyDescent="0.25">
      <c r="B43" s="41" t="s">
        <v>37</v>
      </c>
      <c r="C43" s="41">
        <v>74</v>
      </c>
      <c r="D43" s="41">
        <v>31</v>
      </c>
      <c r="E43" s="41">
        <v>16</v>
      </c>
      <c r="F43" s="41">
        <v>4</v>
      </c>
      <c r="G43" s="41">
        <f>SUM(C43:F43)</f>
        <v>125</v>
      </c>
      <c r="H43" s="134"/>
      <c r="I43" s="9"/>
    </row>
    <row r="44" spans="1:9" x14ac:dyDescent="0.25">
      <c r="B44" s="41" t="s">
        <v>38</v>
      </c>
      <c r="C44" s="41">
        <f>5766579/1000000</f>
        <v>5.7665790000000001</v>
      </c>
      <c r="D44" s="40">
        <v>0.36</v>
      </c>
      <c r="E44" s="41">
        <v>0.1</v>
      </c>
      <c r="F44" s="41">
        <v>0.121561</v>
      </c>
      <c r="G44" s="41">
        <f>SUM(C44:F44)</f>
        <v>6.3481399999999999</v>
      </c>
      <c r="H44" s="134"/>
      <c r="I44" s="9"/>
    </row>
    <row r="45" spans="1:9" x14ac:dyDescent="0.25">
      <c r="A45" s="4"/>
      <c r="B45" s="41"/>
      <c r="C45" s="41"/>
      <c r="D45" s="41"/>
      <c r="E45" s="41"/>
      <c r="F45" s="41"/>
      <c r="G45" s="41"/>
      <c r="H45" s="134"/>
      <c r="I45" s="9"/>
    </row>
    <row r="46" spans="1:9" x14ac:dyDescent="0.25">
      <c r="B46" s="153" t="s">
        <v>39</v>
      </c>
      <c r="C46" s="153"/>
      <c r="D46" s="153"/>
      <c r="E46" s="153"/>
      <c r="F46" s="153"/>
      <c r="G46" s="153"/>
      <c r="I46" s="9"/>
    </row>
    <row r="47" spans="1:9" x14ac:dyDescent="0.25">
      <c r="B47" s="36" t="s">
        <v>40</v>
      </c>
      <c r="C47" s="41">
        <v>82434</v>
      </c>
      <c r="D47" s="41">
        <v>59510</v>
      </c>
      <c r="E47" s="83">
        <v>9546</v>
      </c>
      <c r="F47" s="41">
        <v>47756</v>
      </c>
      <c r="G47" s="41">
        <f>SUM(C47:F47)</f>
        <v>199246</v>
      </c>
      <c r="H47" s="9"/>
      <c r="I47" s="9"/>
    </row>
    <row r="48" spans="1:9" x14ac:dyDescent="0.25">
      <c r="B48" s="36" t="s">
        <v>41</v>
      </c>
      <c r="C48" s="41">
        <f>(43438331503+860126207)/1000000</f>
        <v>44298.457710000002</v>
      </c>
      <c r="D48" s="41">
        <v>18611.837152</v>
      </c>
      <c r="E48" s="83">
        <v>6462.5469999999996</v>
      </c>
      <c r="F48" s="15">
        <v>6361.8020720000004</v>
      </c>
      <c r="G48" s="13">
        <f>SUM(C48:F48)</f>
        <v>75734.643934000007</v>
      </c>
      <c r="H48" s="9"/>
      <c r="I48" s="9"/>
    </row>
    <row r="49" spans="1:8" x14ac:dyDescent="0.25">
      <c r="A49" s="4"/>
      <c r="B49" s="139"/>
      <c r="C49" s="139"/>
      <c r="D49" s="139"/>
      <c r="E49" s="139"/>
      <c r="F49" s="139"/>
      <c r="G49" s="139"/>
      <c r="H49" s="139"/>
    </row>
    <row r="50" spans="1:8" ht="21" x14ac:dyDescent="0.35">
      <c r="B50" s="143" t="s">
        <v>42</v>
      </c>
      <c r="C50" s="144"/>
      <c r="D50" s="144"/>
      <c r="E50" s="144"/>
      <c r="F50" s="144"/>
      <c r="G50" s="145"/>
    </row>
    <row r="51" spans="1:8" x14ac:dyDescent="0.25">
      <c r="A51" s="4"/>
      <c r="B51" s="154"/>
      <c r="C51" s="154"/>
      <c r="D51" s="154"/>
      <c r="E51" s="154"/>
      <c r="F51" s="154"/>
      <c r="G51" s="154"/>
      <c r="H51" s="154"/>
    </row>
    <row r="52" spans="1:8" x14ac:dyDescent="0.25">
      <c r="B52" s="153" t="s">
        <v>43</v>
      </c>
      <c r="C52" s="153"/>
      <c r="D52" s="153"/>
      <c r="E52" s="153"/>
      <c r="F52" s="153"/>
      <c r="G52" s="153"/>
    </row>
    <row r="53" spans="1:8" x14ac:dyDescent="0.25">
      <c r="B53" s="155" t="s">
        <v>44</v>
      </c>
      <c r="C53" s="155"/>
      <c r="D53" s="155"/>
      <c r="E53" s="155"/>
      <c r="F53" s="155"/>
      <c r="G53" s="155"/>
    </row>
    <row r="54" spans="1:8" x14ac:dyDescent="0.25">
      <c r="B54" s="36" t="s">
        <v>45</v>
      </c>
      <c r="C54" s="41">
        <v>56591</v>
      </c>
      <c r="D54" s="41">
        <v>2255</v>
      </c>
      <c r="E54" s="42">
        <v>1159</v>
      </c>
      <c r="F54" s="41">
        <v>1287</v>
      </c>
      <c r="G54" s="41">
        <f t="shared" ref="G54:G70" si="0">SUM(C54:F54)</f>
        <v>61292</v>
      </c>
    </row>
    <row r="55" spans="1:8" x14ac:dyDescent="0.25">
      <c r="B55" s="36" t="s">
        <v>46</v>
      </c>
      <c r="C55" s="41">
        <v>25338.796882999999</v>
      </c>
      <c r="D55" s="41">
        <v>4804.3950000000004</v>
      </c>
      <c r="E55" s="42">
        <v>3197.5272049999999</v>
      </c>
      <c r="F55" s="42">
        <v>3057</v>
      </c>
      <c r="G55" s="41">
        <f t="shared" si="0"/>
        <v>36397.719087999998</v>
      </c>
    </row>
    <row r="56" spans="1:8" x14ac:dyDescent="0.25">
      <c r="B56" s="36" t="s">
        <v>47</v>
      </c>
      <c r="C56" s="41">
        <v>8.4507960629782097</v>
      </c>
      <c r="D56" s="41">
        <v>41.146934241774971</v>
      </c>
      <c r="E56" s="59">
        <v>33</v>
      </c>
      <c r="F56" s="41">
        <v>32</v>
      </c>
      <c r="G56" s="41">
        <f>AVERAGE(C56:F56)</f>
        <v>28.649432576188296</v>
      </c>
    </row>
    <row r="57" spans="1:8" x14ac:dyDescent="0.25">
      <c r="B57" s="36" t="s">
        <v>48</v>
      </c>
      <c r="C57" s="41">
        <v>927911</v>
      </c>
      <c r="D57" s="41">
        <v>174010</v>
      </c>
      <c r="E57" s="42">
        <v>56412</v>
      </c>
      <c r="F57" s="42">
        <v>83533</v>
      </c>
      <c r="G57" s="41">
        <f t="shared" si="0"/>
        <v>1241866</v>
      </c>
    </row>
    <row r="58" spans="1:8" x14ac:dyDescent="0.25">
      <c r="B58" s="36" t="s">
        <v>49</v>
      </c>
      <c r="C58" s="41">
        <v>1388199.956033</v>
      </c>
      <c r="D58" s="41">
        <v>302194.47429899999</v>
      </c>
      <c r="E58" s="60">
        <v>90930.322574000005</v>
      </c>
      <c r="F58" s="42">
        <v>145801</v>
      </c>
      <c r="G58" s="13">
        <f t="shared" si="0"/>
        <v>1927125.752906</v>
      </c>
    </row>
    <row r="59" spans="1:8" x14ac:dyDescent="0.25">
      <c r="B59" s="156" t="s">
        <v>50</v>
      </c>
      <c r="C59" s="156"/>
      <c r="D59" s="156"/>
      <c r="E59" s="156"/>
      <c r="F59" s="156"/>
      <c r="G59" s="156"/>
    </row>
    <row r="60" spans="1:8" x14ac:dyDescent="0.25">
      <c r="B60" s="36" t="s">
        <v>45</v>
      </c>
      <c r="C60" s="23">
        <v>0</v>
      </c>
      <c r="D60" s="17">
        <v>0</v>
      </c>
      <c r="E60" s="17">
        <v>0</v>
      </c>
      <c r="F60" s="23">
        <v>0</v>
      </c>
      <c r="G60" s="41">
        <f t="shared" si="0"/>
        <v>0</v>
      </c>
    </row>
    <row r="61" spans="1:8" x14ac:dyDescent="0.25">
      <c r="B61" s="36" t="s">
        <v>46</v>
      </c>
      <c r="C61" s="23">
        <v>0</v>
      </c>
      <c r="D61" s="29">
        <v>0</v>
      </c>
      <c r="E61" s="29">
        <v>0</v>
      </c>
      <c r="F61" s="23">
        <v>0</v>
      </c>
      <c r="G61" s="23">
        <v>0</v>
      </c>
    </row>
    <row r="62" spans="1:8" x14ac:dyDescent="0.25">
      <c r="B62" s="36" t="s">
        <v>47</v>
      </c>
      <c r="C62" s="23">
        <v>0</v>
      </c>
      <c r="D62" s="29">
        <v>0</v>
      </c>
      <c r="E62" s="29">
        <v>0</v>
      </c>
      <c r="F62" s="23">
        <v>0</v>
      </c>
      <c r="G62" s="23">
        <v>0</v>
      </c>
    </row>
    <row r="63" spans="1:8" x14ac:dyDescent="0.25">
      <c r="B63" s="36" t="s">
        <v>48</v>
      </c>
      <c r="C63" s="23">
        <v>0</v>
      </c>
      <c r="D63" s="39">
        <v>0</v>
      </c>
      <c r="E63" s="39">
        <v>0</v>
      </c>
      <c r="F63" s="23">
        <v>0</v>
      </c>
      <c r="G63" s="41">
        <f t="shared" si="0"/>
        <v>0</v>
      </c>
    </row>
    <row r="64" spans="1:8" x14ac:dyDescent="0.25">
      <c r="B64" s="36" t="s">
        <v>49</v>
      </c>
      <c r="C64" s="23">
        <v>0</v>
      </c>
      <c r="D64" s="39">
        <v>0</v>
      </c>
      <c r="E64" s="39">
        <v>0</v>
      </c>
      <c r="F64" s="23">
        <v>0</v>
      </c>
      <c r="G64" s="40">
        <f t="shared" si="0"/>
        <v>0</v>
      </c>
    </row>
    <row r="65" spans="1:8" x14ac:dyDescent="0.25">
      <c r="B65" s="155" t="s">
        <v>51</v>
      </c>
      <c r="C65" s="155"/>
      <c r="D65" s="155"/>
      <c r="E65" s="155"/>
      <c r="F65" s="155"/>
      <c r="G65" s="155"/>
    </row>
    <row r="66" spans="1:8" x14ac:dyDescent="0.25">
      <c r="B66" s="36" t="s">
        <v>45</v>
      </c>
      <c r="C66" s="41">
        <v>3260</v>
      </c>
      <c r="D66" s="41">
        <v>1781</v>
      </c>
      <c r="E66" s="42">
        <v>1949</v>
      </c>
      <c r="F66" s="42">
        <v>5320</v>
      </c>
      <c r="G66" s="39">
        <f t="shared" si="0"/>
        <v>12310</v>
      </c>
    </row>
    <row r="67" spans="1:8" x14ac:dyDescent="0.25">
      <c r="B67" s="36" t="s">
        <v>46</v>
      </c>
      <c r="C67" s="41">
        <v>2088.9460949999998</v>
      </c>
      <c r="D67" s="41">
        <v>2691.9270000000001</v>
      </c>
      <c r="E67" s="42">
        <v>3164.6333460000001</v>
      </c>
      <c r="F67" s="42">
        <v>6108</v>
      </c>
      <c r="G67" s="39">
        <f t="shared" si="0"/>
        <v>14053.506441</v>
      </c>
    </row>
    <row r="68" spans="1:8" x14ac:dyDescent="0.25">
      <c r="B68" s="36" t="s">
        <v>47</v>
      </c>
      <c r="C68" s="41">
        <v>33.936809815950902</v>
      </c>
      <c r="D68" s="41">
        <v>55.556455548886476</v>
      </c>
      <c r="E68" s="42">
        <v>55</v>
      </c>
      <c r="F68" s="41">
        <v>45</v>
      </c>
      <c r="G68" s="39">
        <f>AVERAGE(C68:F68)</f>
        <v>47.373316341209346</v>
      </c>
    </row>
    <row r="69" spans="1:8" x14ac:dyDescent="0.25">
      <c r="B69" s="36" t="s">
        <v>48</v>
      </c>
      <c r="C69" s="41">
        <v>126495</v>
      </c>
      <c r="D69" s="41">
        <v>95027</v>
      </c>
      <c r="E69" s="42">
        <v>59647</v>
      </c>
      <c r="F69" s="15">
        <v>264369</v>
      </c>
      <c r="G69" s="39">
        <f t="shared" si="0"/>
        <v>545538</v>
      </c>
    </row>
    <row r="70" spans="1:8" x14ac:dyDescent="0.25">
      <c r="B70" s="36" t="s">
        <v>49</v>
      </c>
      <c r="C70" s="41">
        <v>92041.101815999995</v>
      </c>
      <c r="D70" s="41">
        <v>80136.379224999997</v>
      </c>
      <c r="E70" s="42">
        <v>46874.093679999998</v>
      </c>
      <c r="F70" s="9">
        <v>174464</v>
      </c>
      <c r="G70" s="40">
        <f t="shared" si="0"/>
        <v>393515.57472099998</v>
      </c>
    </row>
    <row r="71" spans="1:8" x14ac:dyDescent="0.25">
      <c r="B71" s="157" t="s">
        <v>52</v>
      </c>
      <c r="C71" s="158"/>
      <c r="D71" s="158"/>
      <c r="E71" s="158"/>
      <c r="F71" s="158"/>
      <c r="G71" s="159"/>
    </row>
    <row r="72" spans="1:8" x14ac:dyDescent="0.25">
      <c r="B72" s="21" t="s">
        <v>45</v>
      </c>
      <c r="C72" s="22">
        <v>59851</v>
      </c>
      <c r="D72" s="22">
        <f>+D66+D60+D54</f>
        <v>4036</v>
      </c>
      <c r="E72" s="22">
        <f t="shared" ref="E72:E73" si="1">+E66+E60+E54</f>
        <v>3108</v>
      </c>
      <c r="F72" s="22">
        <f>+F54+F66</f>
        <v>6607</v>
      </c>
      <c r="G72" s="22">
        <f>SUM(C72:F72)</f>
        <v>73602</v>
      </c>
    </row>
    <row r="73" spans="1:8" x14ac:dyDescent="0.25">
      <c r="B73" s="21" t="s">
        <v>46</v>
      </c>
      <c r="C73" s="22">
        <v>27427.742977999998</v>
      </c>
      <c r="D73" s="22">
        <f t="shared" ref="D73:E76" si="2">+D67+D61+D55</f>
        <v>7496.3220000000001</v>
      </c>
      <c r="E73" s="22">
        <f t="shared" si="1"/>
        <v>6362.1605509999999</v>
      </c>
      <c r="F73" s="22">
        <f>+F55+F67</f>
        <v>9165</v>
      </c>
      <c r="G73" s="25">
        <f>SUM(C73:F73)</f>
        <v>50451.225528999996</v>
      </c>
    </row>
    <row r="74" spans="1:8" x14ac:dyDescent="0.25">
      <c r="B74" s="21" t="s">
        <v>47</v>
      </c>
      <c r="C74" s="22">
        <v>9.8389834756311494</v>
      </c>
      <c r="D74" s="22">
        <f>(+D56+D62+D68)/3</f>
        <v>32.234463263553813</v>
      </c>
      <c r="E74" s="22">
        <v>47</v>
      </c>
      <c r="F74" s="22">
        <f>(F56+F68)/2</f>
        <v>38.5</v>
      </c>
      <c r="G74" s="22">
        <f>AVERAGE(C74:F74)</f>
        <v>31.89336168479624</v>
      </c>
    </row>
    <row r="75" spans="1:8" x14ac:dyDescent="0.25">
      <c r="B75" s="21" t="s">
        <v>48</v>
      </c>
      <c r="C75" s="22">
        <v>1054407</v>
      </c>
      <c r="D75" s="22">
        <f t="shared" si="2"/>
        <v>269037</v>
      </c>
      <c r="E75" s="22">
        <f t="shared" si="2"/>
        <v>116059</v>
      </c>
      <c r="F75" s="22">
        <f>+F57+F69</f>
        <v>347902</v>
      </c>
      <c r="G75" s="22">
        <f>SUM(C75:F75)</f>
        <v>1787405</v>
      </c>
    </row>
    <row r="76" spans="1:8" x14ac:dyDescent="0.25">
      <c r="B76" s="21" t="s">
        <v>49</v>
      </c>
      <c r="C76" s="22">
        <v>1480241.095739</v>
      </c>
      <c r="D76" s="22">
        <f>+D70+D64+D58</f>
        <v>382330.85352399998</v>
      </c>
      <c r="E76" s="22">
        <f t="shared" si="2"/>
        <v>137804.41625400001</v>
      </c>
      <c r="F76" s="22">
        <f>+F58+F70</f>
        <v>320265</v>
      </c>
      <c r="G76" s="25">
        <f>SUM(C76:F76)</f>
        <v>2320641.3655169997</v>
      </c>
    </row>
    <row r="77" spans="1:8" x14ac:dyDescent="0.25">
      <c r="A77" s="4"/>
      <c r="B77" s="139"/>
      <c r="C77" s="139"/>
      <c r="D77" s="139"/>
      <c r="E77" s="139"/>
      <c r="F77" s="139"/>
      <c r="G77" s="139"/>
      <c r="H77" s="139"/>
    </row>
    <row r="78" spans="1:8" x14ac:dyDescent="0.25">
      <c r="B78" s="146" t="s">
        <v>53</v>
      </c>
      <c r="C78" s="147"/>
      <c r="D78" s="147"/>
      <c r="E78" s="147"/>
      <c r="F78" s="147"/>
      <c r="G78" s="148"/>
    </row>
    <row r="79" spans="1:8" x14ac:dyDescent="0.25">
      <c r="B79" s="160" t="s">
        <v>44</v>
      </c>
      <c r="C79" s="161"/>
      <c r="D79" s="161"/>
      <c r="E79" s="161"/>
      <c r="F79" s="161"/>
      <c r="G79" s="162"/>
    </row>
    <row r="80" spans="1:8" x14ac:dyDescent="0.25">
      <c r="A80" s="1">
        <v>0</v>
      </c>
      <c r="B80" s="36" t="s">
        <v>45</v>
      </c>
      <c r="C80" s="41">
        <v>0</v>
      </c>
      <c r="D80" s="36">
        <v>0</v>
      </c>
      <c r="E80" s="36">
        <v>0</v>
      </c>
      <c r="F80" s="23">
        <v>0</v>
      </c>
      <c r="G80" s="23">
        <f>SUM(C80:F80)</f>
        <v>0</v>
      </c>
    </row>
    <row r="81" spans="2:7" x14ac:dyDescent="0.25">
      <c r="B81" s="36" t="s">
        <v>46</v>
      </c>
      <c r="C81" s="41">
        <v>0</v>
      </c>
      <c r="D81" s="36">
        <v>0</v>
      </c>
      <c r="E81" s="36">
        <v>0</v>
      </c>
      <c r="F81" s="29">
        <v>0</v>
      </c>
      <c r="G81" s="29">
        <f>SUM(C81:F81)</f>
        <v>0</v>
      </c>
    </row>
    <row r="82" spans="2:7" x14ac:dyDescent="0.25">
      <c r="B82" s="36" t="s">
        <v>47</v>
      </c>
      <c r="C82" s="41">
        <v>0</v>
      </c>
      <c r="D82" s="36">
        <v>0</v>
      </c>
      <c r="E82" s="36">
        <v>0</v>
      </c>
      <c r="F82" s="29">
        <v>0</v>
      </c>
      <c r="G82" s="29">
        <f>AVERAGE(C82:F82)</f>
        <v>0</v>
      </c>
    </row>
    <row r="83" spans="2:7" x14ac:dyDescent="0.25">
      <c r="B83" s="36" t="s">
        <v>48</v>
      </c>
      <c r="C83" s="41">
        <v>1110</v>
      </c>
      <c r="D83" s="130">
        <v>137</v>
      </c>
      <c r="E83" s="51">
        <v>7</v>
      </c>
      <c r="F83" s="29">
        <v>117</v>
      </c>
      <c r="G83" s="29">
        <f>SUM(C83:F83)</f>
        <v>1371</v>
      </c>
    </row>
    <row r="84" spans="2:7" x14ac:dyDescent="0.25">
      <c r="B84" s="36" t="s">
        <v>49</v>
      </c>
      <c r="C84" s="41">
        <v>21701.073793</v>
      </c>
      <c r="D84" s="130">
        <v>1568</v>
      </c>
      <c r="E84" s="51">
        <v>86</v>
      </c>
      <c r="F84" s="41">
        <v>1976.1535490000001</v>
      </c>
      <c r="G84" s="13">
        <f>SUM(C84:F84)</f>
        <v>25331.227341999998</v>
      </c>
    </row>
    <row r="85" spans="2:7" x14ac:dyDescent="0.25">
      <c r="B85" s="160" t="s">
        <v>50</v>
      </c>
      <c r="C85" s="161"/>
      <c r="D85" s="161"/>
      <c r="E85" s="161"/>
      <c r="F85" s="161"/>
      <c r="G85" s="162"/>
    </row>
    <row r="86" spans="2:7" x14ac:dyDescent="0.25">
      <c r="B86" s="36" t="s">
        <v>45</v>
      </c>
      <c r="C86" s="23">
        <v>0</v>
      </c>
      <c r="D86" s="36">
        <v>0</v>
      </c>
      <c r="E86" s="23">
        <v>0</v>
      </c>
      <c r="F86" s="29">
        <v>0</v>
      </c>
      <c r="G86" s="39">
        <f>SUM(C86:F86)</f>
        <v>0</v>
      </c>
    </row>
    <row r="87" spans="2:7" x14ac:dyDescent="0.25">
      <c r="B87" s="36" t="s">
        <v>46</v>
      </c>
      <c r="C87" s="23">
        <v>0</v>
      </c>
      <c r="D87" s="36">
        <v>0</v>
      </c>
      <c r="E87" s="23">
        <v>0</v>
      </c>
      <c r="F87" s="29">
        <v>0</v>
      </c>
      <c r="G87" s="39">
        <f>SUM(C87:F87)</f>
        <v>0</v>
      </c>
    </row>
    <row r="88" spans="2:7" x14ac:dyDescent="0.25">
      <c r="B88" s="36" t="s">
        <v>47</v>
      </c>
      <c r="C88" s="23">
        <v>0</v>
      </c>
      <c r="D88" s="36">
        <v>0</v>
      </c>
      <c r="E88" s="23">
        <v>0</v>
      </c>
      <c r="F88" s="29">
        <v>0</v>
      </c>
      <c r="G88" s="39">
        <f>AVERAGE(C88:F88)</f>
        <v>0</v>
      </c>
    </row>
    <row r="89" spans="2:7" x14ac:dyDescent="0.25">
      <c r="B89" s="36" t="s">
        <v>48</v>
      </c>
      <c r="C89" s="23">
        <v>0</v>
      </c>
      <c r="D89" s="36">
        <v>0</v>
      </c>
      <c r="E89" s="23">
        <v>0</v>
      </c>
      <c r="F89" s="29">
        <v>0</v>
      </c>
      <c r="G89" s="39">
        <f>SUM(C89:F89)</f>
        <v>0</v>
      </c>
    </row>
    <row r="90" spans="2:7" x14ac:dyDescent="0.25">
      <c r="B90" s="36" t="s">
        <v>49</v>
      </c>
      <c r="C90" s="23">
        <v>0</v>
      </c>
      <c r="D90" s="36">
        <v>0</v>
      </c>
      <c r="E90" s="23">
        <v>0</v>
      </c>
      <c r="F90" s="29">
        <v>0</v>
      </c>
      <c r="G90" s="39">
        <f>SUM(C90:F90)</f>
        <v>0</v>
      </c>
    </row>
    <row r="91" spans="2:7" x14ac:dyDescent="0.25">
      <c r="B91" s="160" t="s">
        <v>51</v>
      </c>
      <c r="C91" s="161"/>
      <c r="D91" s="161"/>
      <c r="E91" s="161"/>
      <c r="F91" s="161"/>
      <c r="G91" s="162"/>
    </row>
    <row r="92" spans="2:7" x14ac:dyDescent="0.25">
      <c r="B92" s="36" t="s">
        <v>45</v>
      </c>
      <c r="C92" s="36">
        <v>0</v>
      </c>
      <c r="D92" s="64">
        <v>0</v>
      </c>
      <c r="E92" s="23">
        <v>0</v>
      </c>
      <c r="F92" s="29">
        <v>0</v>
      </c>
      <c r="G92" s="39">
        <f>SUM(C92:F92)</f>
        <v>0</v>
      </c>
    </row>
    <row r="93" spans="2:7" x14ac:dyDescent="0.25">
      <c r="B93" s="36" t="s">
        <v>46</v>
      </c>
      <c r="C93" s="34">
        <v>0</v>
      </c>
      <c r="D93" s="64">
        <v>0</v>
      </c>
      <c r="E93" s="23">
        <v>0</v>
      </c>
      <c r="F93" s="29">
        <v>0</v>
      </c>
      <c r="G93" s="39">
        <f>SUM(C93:F93)</f>
        <v>0</v>
      </c>
    </row>
    <row r="94" spans="2:7" x14ac:dyDescent="0.25">
      <c r="B94" s="36" t="s">
        <v>47</v>
      </c>
      <c r="C94" s="37">
        <v>0</v>
      </c>
      <c r="D94" s="64">
        <v>0</v>
      </c>
      <c r="E94" s="23">
        <v>0</v>
      </c>
      <c r="F94" s="29">
        <v>0</v>
      </c>
      <c r="G94" s="39">
        <f>AVERAGE(C94:F94)</f>
        <v>0</v>
      </c>
    </row>
    <row r="95" spans="2:7" x14ac:dyDescent="0.25">
      <c r="B95" s="36" t="s">
        <v>48</v>
      </c>
      <c r="C95" s="41">
        <v>13</v>
      </c>
      <c r="D95" s="64">
        <v>0</v>
      </c>
      <c r="E95" s="23">
        <v>0</v>
      </c>
      <c r="F95" s="29">
        <v>8</v>
      </c>
      <c r="G95" s="39">
        <f>SUM(C95:F95)</f>
        <v>21</v>
      </c>
    </row>
    <row r="96" spans="2:7" x14ac:dyDescent="0.25">
      <c r="B96" s="36" t="s">
        <v>49</v>
      </c>
      <c r="C96" s="41">
        <v>189.698745</v>
      </c>
      <c r="D96" s="64">
        <v>0</v>
      </c>
      <c r="E96" s="23">
        <v>0</v>
      </c>
      <c r="F96" s="29">
        <v>113.165451</v>
      </c>
      <c r="G96" s="13">
        <f>SUM(C96:F96)</f>
        <v>302.86419599999999</v>
      </c>
    </row>
    <row r="97" spans="1:8" x14ac:dyDescent="0.25">
      <c r="B97" s="157" t="s">
        <v>54</v>
      </c>
      <c r="C97" s="158"/>
      <c r="D97" s="158"/>
      <c r="E97" s="158"/>
      <c r="F97" s="158"/>
      <c r="G97" s="159"/>
    </row>
    <row r="98" spans="1:8" x14ac:dyDescent="0.25">
      <c r="B98" s="21" t="s">
        <v>45</v>
      </c>
      <c r="C98" s="21">
        <v>0</v>
      </c>
      <c r="D98" s="69">
        <f>+D92+D86+D80</f>
        <v>0</v>
      </c>
      <c r="E98" s="22">
        <v>0</v>
      </c>
      <c r="F98" s="24">
        <v>0</v>
      </c>
      <c r="G98" s="22">
        <f>SUM(C98:F98)</f>
        <v>0</v>
      </c>
    </row>
    <row r="99" spans="1:8" x14ac:dyDescent="0.25">
      <c r="B99" s="21" t="s">
        <v>46</v>
      </c>
      <c r="C99" s="22">
        <v>0</v>
      </c>
      <c r="D99" s="69">
        <f t="shared" ref="D99:D102" si="3">+D93+D87+D81</f>
        <v>0</v>
      </c>
      <c r="E99" s="22">
        <v>0</v>
      </c>
      <c r="F99" s="24">
        <v>0</v>
      </c>
      <c r="G99" s="25">
        <f>SUM(C99:F99)</f>
        <v>0</v>
      </c>
    </row>
    <row r="100" spans="1:8" x14ac:dyDescent="0.25">
      <c r="B100" s="21" t="s">
        <v>47</v>
      </c>
      <c r="C100" s="22">
        <v>0</v>
      </c>
      <c r="D100" s="69">
        <f t="shared" si="3"/>
        <v>0</v>
      </c>
      <c r="E100" s="22">
        <v>0</v>
      </c>
      <c r="F100" s="24">
        <v>0</v>
      </c>
      <c r="G100" s="22">
        <f>AVERAGE(C100:F100)</f>
        <v>0</v>
      </c>
    </row>
    <row r="101" spans="1:8" x14ac:dyDescent="0.25">
      <c r="B101" s="21" t="s">
        <v>48</v>
      </c>
      <c r="C101" s="22">
        <v>1123</v>
      </c>
      <c r="D101" s="22">
        <f t="shared" si="3"/>
        <v>137</v>
      </c>
      <c r="E101" s="22">
        <v>7</v>
      </c>
      <c r="F101" s="32">
        <v>0</v>
      </c>
      <c r="G101" s="22">
        <f>SUM(C101:F101)</f>
        <v>1267</v>
      </c>
    </row>
    <row r="102" spans="1:8" x14ac:dyDescent="0.25">
      <c r="B102" s="21" t="s">
        <v>49</v>
      </c>
      <c r="C102" s="22">
        <v>21890.772538000001</v>
      </c>
      <c r="D102" s="22">
        <f t="shared" si="3"/>
        <v>1568</v>
      </c>
      <c r="E102" s="22">
        <v>86</v>
      </c>
      <c r="F102" s="25">
        <v>0</v>
      </c>
      <c r="G102" s="25">
        <f>SUM(C102:F102)</f>
        <v>23544.772538000001</v>
      </c>
    </row>
    <row r="103" spans="1:8" x14ac:dyDescent="0.25">
      <c r="A103" s="4"/>
      <c r="B103" s="139"/>
      <c r="C103" s="139"/>
      <c r="D103" s="139"/>
      <c r="E103" s="139"/>
      <c r="F103" s="139"/>
      <c r="G103" s="139"/>
      <c r="H103" s="139"/>
    </row>
    <row r="104" spans="1:8" x14ac:dyDescent="0.25">
      <c r="B104" s="153" t="s">
        <v>55</v>
      </c>
      <c r="C104" s="153"/>
      <c r="D104" s="153"/>
      <c r="E104" s="153"/>
      <c r="F104" s="153"/>
      <c r="G104" s="153"/>
    </row>
    <row r="105" spans="1:8" x14ac:dyDescent="0.25">
      <c r="B105" s="155" t="s">
        <v>56</v>
      </c>
      <c r="C105" s="155"/>
      <c r="D105" s="155"/>
      <c r="E105" s="155"/>
      <c r="F105" s="167"/>
      <c r="G105" s="155"/>
    </row>
    <row r="106" spans="1:8" x14ac:dyDescent="0.25">
      <c r="B106" s="36" t="s">
        <v>57</v>
      </c>
      <c r="C106" s="16">
        <v>1.5213695699542724</v>
      </c>
      <c r="D106" s="16">
        <v>2.5133852140077892</v>
      </c>
      <c r="E106" s="45">
        <v>2.08</v>
      </c>
      <c r="F106" s="16">
        <v>1.76</v>
      </c>
      <c r="G106" s="74">
        <f>AVERAGE(C106:F106)</f>
        <v>1.9686886959905154</v>
      </c>
    </row>
    <row r="107" spans="1:8" x14ac:dyDescent="0.25">
      <c r="B107" s="36" t="s">
        <v>58</v>
      </c>
      <c r="C107" s="16">
        <v>1.7944732297063595</v>
      </c>
      <c r="D107" s="16">
        <v>2.3531632653061343</v>
      </c>
      <c r="E107" s="48">
        <v>2.14</v>
      </c>
      <c r="F107" s="16">
        <v>2.1800000000000002</v>
      </c>
      <c r="G107" s="74">
        <f>AVERAGE(C107:F107)</f>
        <v>2.1169091237531235</v>
      </c>
    </row>
    <row r="108" spans="1:8" x14ac:dyDescent="0.25">
      <c r="B108" s="36" t="s">
        <v>59</v>
      </c>
      <c r="C108" s="16">
        <v>1.5571641809411347</v>
      </c>
      <c r="D108" s="16">
        <v>2.2469512195122032</v>
      </c>
      <c r="E108" s="45">
        <v>2.0499999999999998</v>
      </c>
      <c r="F108" s="16">
        <v>2.1800000000000002</v>
      </c>
      <c r="G108" s="74">
        <f>AVERAGE(C108:F108)</f>
        <v>2.0085288501133345</v>
      </c>
    </row>
    <row r="109" spans="1:8" x14ac:dyDescent="0.25">
      <c r="B109" s="155" t="s">
        <v>60</v>
      </c>
      <c r="C109" s="155"/>
      <c r="D109" s="155"/>
      <c r="E109" s="155"/>
      <c r="F109" s="168"/>
      <c r="G109" s="155"/>
    </row>
    <row r="110" spans="1:8" x14ac:dyDescent="0.25">
      <c r="B110" s="36" t="s">
        <v>57</v>
      </c>
      <c r="C110" s="16">
        <v>1.183913043478261</v>
      </c>
      <c r="D110" s="16">
        <v>1.59</v>
      </c>
      <c r="E110" s="45">
        <v>1.03</v>
      </c>
      <c r="F110" s="16">
        <v>1.55</v>
      </c>
      <c r="G110" s="74">
        <f>AVERAGE(C110:F110)</f>
        <v>1.3384782608695653</v>
      </c>
    </row>
    <row r="111" spans="1:8" x14ac:dyDescent="0.25">
      <c r="B111" s="36" t="s">
        <v>58</v>
      </c>
      <c r="C111" s="16">
        <v>1.4504545454545463</v>
      </c>
      <c r="D111" s="16">
        <v>1.582857142857143</v>
      </c>
      <c r="E111" s="45">
        <v>1.32</v>
      </c>
      <c r="F111" s="16">
        <v>1.55</v>
      </c>
      <c r="G111" s="74">
        <f>AVERAGE(C111:F111)</f>
        <v>1.4758279220779222</v>
      </c>
    </row>
    <row r="112" spans="1:8" x14ac:dyDescent="0.25">
      <c r="B112" s="36" t="s">
        <v>59</v>
      </c>
      <c r="C112" s="16">
        <v>1.0649198908586084</v>
      </c>
      <c r="D112" s="16">
        <v>1.5838666666666668</v>
      </c>
      <c r="E112" s="45">
        <v>1.46</v>
      </c>
      <c r="F112" s="16">
        <v>1.55</v>
      </c>
      <c r="G112" s="74">
        <f>AVERAGE(C112:F112)</f>
        <v>1.4146966393813187</v>
      </c>
    </row>
    <row r="113" spans="1:9" x14ac:dyDescent="0.25">
      <c r="A113" s="4"/>
      <c r="B113" s="139"/>
      <c r="C113" s="139"/>
      <c r="D113" s="139"/>
      <c r="E113" s="139"/>
      <c r="F113" s="139"/>
      <c r="G113" s="139"/>
      <c r="H113" s="139"/>
      <c r="I113" s="139"/>
    </row>
    <row r="114" spans="1:9" x14ac:dyDescent="0.25">
      <c r="B114" s="155" t="s">
        <v>61</v>
      </c>
      <c r="C114" s="155"/>
      <c r="D114" s="155"/>
      <c r="E114" s="155"/>
      <c r="F114" s="167"/>
      <c r="G114" s="155"/>
    </row>
    <row r="115" spans="1:9" x14ac:dyDescent="0.25">
      <c r="B115" s="36" t="s">
        <v>57</v>
      </c>
      <c r="C115" s="16">
        <v>1.0533333333333386</v>
      </c>
      <c r="D115" s="16">
        <v>1.6357407407407407</v>
      </c>
      <c r="E115" s="48">
        <v>1.39</v>
      </c>
      <c r="F115" s="132">
        <v>1.5900000000000001E-2</v>
      </c>
      <c r="G115" s="74">
        <f>AVERAGE(C115:F115)</f>
        <v>1.0237435185185197</v>
      </c>
    </row>
    <row r="116" spans="1:9" x14ac:dyDescent="0.25">
      <c r="B116" s="36" t="s">
        <v>58</v>
      </c>
      <c r="C116" s="16">
        <v>1.3883695652173795</v>
      </c>
      <c r="D116" s="16">
        <v>1.6346153846153839</v>
      </c>
      <c r="E116" s="48">
        <v>1.46</v>
      </c>
      <c r="F116" s="132">
        <v>1.5900000000000001E-2</v>
      </c>
      <c r="G116" s="74">
        <f>AVERAGE(C116:F116)</f>
        <v>1.124721237458191</v>
      </c>
    </row>
    <row r="117" spans="1:9" x14ac:dyDescent="0.25">
      <c r="B117" s="36" t="s">
        <v>59</v>
      </c>
      <c r="C117" s="16">
        <v>1.3586819484240886</v>
      </c>
      <c r="D117" s="16">
        <v>1.6350313807531689</v>
      </c>
      <c r="E117" s="48">
        <v>1.52</v>
      </c>
      <c r="F117" s="132">
        <v>1.5900000000000001E-2</v>
      </c>
      <c r="G117" s="74">
        <f>AVERAGE(C117:F117)</f>
        <v>1.1324033322943143</v>
      </c>
    </row>
    <row r="118" spans="1:9" x14ac:dyDescent="0.25">
      <c r="B118" s="160" t="s">
        <v>62</v>
      </c>
      <c r="C118" s="161"/>
      <c r="D118" s="161"/>
      <c r="E118" s="161"/>
      <c r="F118" s="169"/>
      <c r="G118" s="162"/>
    </row>
    <row r="119" spans="1:9" x14ac:dyDescent="0.25">
      <c r="B119" s="36" t="s">
        <v>57</v>
      </c>
      <c r="C119" s="16">
        <v>0.98</v>
      </c>
      <c r="D119" s="16">
        <v>1.1599999999999995</v>
      </c>
      <c r="E119" s="37">
        <v>0</v>
      </c>
      <c r="F119" s="16">
        <v>0.98999999999999988</v>
      </c>
      <c r="G119" s="74">
        <f>AVERAGE(C119:F119)</f>
        <v>0.78249999999999986</v>
      </c>
      <c r="I119" s="10"/>
    </row>
    <row r="120" spans="1:9" x14ac:dyDescent="0.25">
      <c r="B120" s="36" t="s">
        <v>58</v>
      </c>
      <c r="C120" s="16">
        <v>0.98999999999999988</v>
      </c>
      <c r="D120" s="16">
        <v>1.1599999999999995</v>
      </c>
      <c r="E120" s="45">
        <v>0.84</v>
      </c>
      <c r="F120" s="16">
        <v>1.39</v>
      </c>
      <c r="G120" s="74">
        <f>AVERAGE(C120:F120)</f>
        <v>1.0949999999999998</v>
      </c>
      <c r="I120" s="10"/>
    </row>
    <row r="121" spans="1:9" x14ac:dyDescent="0.25">
      <c r="B121" s="36" t="s">
        <v>59</v>
      </c>
      <c r="C121" s="16">
        <v>0.9900000000000001</v>
      </c>
      <c r="D121" s="16">
        <v>1.1599999999999995</v>
      </c>
      <c r="E121" s="45">
        <v>1.0900000000000001</v>
      </c>
      <c r="F121" s="16">
        <v>1.39</v>
      </c>
      <c r="G121" s="74">
        <f>AVERAGE(C121:F121)</f>
        <v>1.1574999999999998</v>
      </c>
      <c r="I121" s="10"/>
    </row>
    <row r="122" spans="1:9" x14ac:dyDescent="0.25">
      <c r="A122" s="4"/>
      <c r="B122" s="139"/>
      <c r="C122" s="139"/>
      <c r="D122" s="139"/>
      <c r="E122" s="139"/>
      <c r="F122" s="139"/>
      <c r="G122" s="139"/>
      <c r="H122" s="139"/>
    </row>
    <row r="123" spans="1:9" x14ac:dyDescent="0.25">
      <c r="B123" s="146" t="s">
        <v>63</v>
      </c>
      <c r="C123" s="147"/>
      <c r="D123" s="147"/>
      <c r="E123" s="147"/>
      <c r="F123" s="147"/>
      <c r="G123" s="148"/>
    </row>
    <row r="124" spans="1:9" x14ac:dyDescent="0.25">
      <c r="B124" s="2" t="s">
        <v>64</v>
      </c>
      <c r="C124" s="36">
        <v>4.32</v>
      </c>
      <c r="D124" s="31">
        <v>0</v>
      </c>
      <c r="E124" s="23">
        <v>0</v>
      </c>
      <c r="F124" s="23">
        <v>0</v>
      </c>
      <c r="G124" s="40">
        <f>AVERAGE(C124:F124)</f>
        <v>1.08</v>
      </c>
      <c r="H124" s="3"/>
    </row>
    <row r="125" spans="1:9" x14ac:dyDescent="0.25">
      <c r="B125" s="146" t="s">
        <v>65</v>
      </c>
      <c r="C125" s="147"/>
      <c r="D125" s="147"/>
      <c r="E125" s="147"/>
      <c r="F125" s="147"/>
      <c r="G125" s="148"/>
    </row>
    <row r="126" spans="1:9" x14ac:dyDescent="0.25">
      <c r="B126" s="5" t="s">
        <v>66</v>
      </c>
      <c r="C126" s="128">
        <v>1.7514407624431001</v>
      </c>
      <c r="D126" s="128">
        <v>1.98248499253204</v>
      </c>
      <c r="E126" s="52">
        <v>2.011768</v>
      </c>
      <c r="F126" s="14">
        <v>0</v>
      </c>
      <c r="G126" s="40">
        <f>AVERAGE(C126:F126)</f>
        <v>1.4364234387437851</v>
      </c>
    </row>
    <row r="127" spans="1:9" x14ac:dyDescent="0.25">
      <c r="A127" s="4"/>
      <c r="B127" s="163"/>
      <c r="C127" s="163"/>
      <c r="D127" s="163"/>
      <c r="E127" s="163"/>
      <c r="F127" s="163"/>
      <c r="G127" s="163"/>
      <c r="H127" s="163"/>
    </row>
    <row r="128" spans="1:9" x14ac:dyDescent="0.25">
      <c r="B128" s="153" t="s">
        <v>67</v>
      </c>
      <c r="C128" s="153"/>
      <c r="D128" s="153"/>
      <c r="E128" s="153"/>
      <c r="F128" s="177"/>
      <c r="G128" s="153"/>
    </row>
    <row r="129" spans="1:9" x14ac:dyDescent="0.25">
      <c r="B129" s="36" t="s">
        <v>68</v>
      </c>
      <c r="C129" s="41">
        <v>313270</v>
      </c>
      <c r="D129" s="41">
        <v>10984</v>
      </c>
      <c r="E129" s="41">
        <v>8644</v>
      </c>
      <c r="F129" s="41">
        <v>1085</v>
      </c>
      <c r="G129" s="79">
        <f>SUM(C129:F129)</f>
        <v>333983</v>
      </c>
    </row>
    <row r="130" spans="1:9" x14ac:dyDescent="0.25">
      <c r="B130" s="36" t="s">
        <v>69</v>
      </c>
      <c r="C130" s="41">
        <v>190696.575171</v>
      </c>
      <c r="D130" s="41">
        <v>4410.3760499999999</v>
      </c>
      <c r="E130" s="41">
        <v>1251</v>
      </c>
      <c r="F130" s="41">
        <v>1363</v>
      </c>
      <c r="G130" s="80">
        <f>SUM(C130:F130)</f>
        <v>197720.951221</v>
      </c>
    </row>
    <row r="131" spans="1:9" x14ac:dyDescent="0.25">
      <c r="A131" s="4"/>
      <c r="B131" s="139"/>
      <c r="C131" s="139"/>
      <c r="D131" s="139"/>
      <c r="E131" s="139"/>
      <c r="F131" s="139"/>
      <c r="G131" s="139"/>
      <c r="H131" s="139"/>
    </row>
    <row r="132" spans="1:9" x14ac:dyDescent="0.25">
      <c r="B132" s="153" t="s">
        <v>70</v>
      </c>
      <c r="C132" s="153"/>
      <c r="D132" s="153"/>
      <c r="E132" s="153"/>
      <c r="F132" s="153"/>
      <c r="G132" s="153"/>
    </row>
    <row r="133" spans="1:9" x14ac:dyDescent="0.25">
      <c r="B133" s="36" t="s">
        <v>71</v>
      </c>
      <c r="C133" s="41">
        <v>687116</v>
      </c>
      <c r="D133" s="41">
        <v>181617</v>
      </c>
      <c r="E133" s="41">
        <f>27721+105020</f>
        <v>132741</v>
      </c>
      <c r="F133" s="41">
        <v>338854</v>
      </c>
      <c r="G133" s="39">
        <f>SUM(C133:F133)</f>
        <v>1340328</v>
      </c>
    </row>
    <row r="134" spans="1:9" x14ac:dyDescent="0.25">
      <c r="A134" s="4"/>
      <c r="B134" s="139"/>
      <c r="C134" s="139"/>
      <c r="D134" s="139"/>
      <c r="E134" s="139"/>
      <c r="F134" s="139"/>
      <c r="G134" s="139"/>
      <c r="H134" s="139"/>
    </row>
    <row r="135" spans="1:9" ht="21" x14ac:dyDescent="0.35">
      <c r="B135" s="164" t="s">
        <v>72</v>
      </c>
      <c r="C135" s="164"/>
      <c r="D135" s="164"/>
      <c r="E135" s="164"/>
      <c r="F135" s="164"/>
      <c r="G135" s="164"/>
    </row>
    <row r="136" spans="1:9" x14ac:dyDescent="0.25">
      <c r="B136" s="153" t="s">
        <v>73</v>
      </c>
      <c r="C136" s="153"/>
      <c r="D136" s="153"/>
      <c r="E136" s="153"/>
      <c r="F136" s="153"/>
      <c r="G136" s="153"/>
    </row>
    <row r="137" spans="1:9" x14ac:dyDescent="0.25">
      <c r="B137" s="36" t="s">
        <v>74</v>
      </c>
      <c r="C137" s="39">
        <v>0</v>
      </c>
      <c r="D137" s="41">
        <v>5831</v>
      </c>
      <c r="E137" s="39">
        <v>0</v>
      </c>
      <c r="F137" s="41">
        <v>16091</v>
      </c>
      <c r="G137" s="41">
        <f>SUM(C137:F137)</f>
        <v>21922</v>
      </c>
      <c r="H137" s="9"/>
      <c r="I137" s="9"/>
    </row>
    <row r="138" spans="1:9" x14ac:dyDescent="0.25">
      <c r="B138" s="36" t="s">
        <v>75</v>
      </c>
      <c r="C138" s="39">
        <v>0</v>
      </c>
      <c r="D138" s="41">
        <v>10</v>
      </c>
      <c r="E138" s="39">
        <v>0</v>
      </c>
      <c r="F138" s="41">
        <v>220</v>
      </c>
      <c r="G138" s="41">
        <f>SUM(C138:F138)</f>
        <v>230</v>
      </c>
      <c r="H138" s="9"/>
      <c r="I138" s="9"/>
    </row>
    <row r="139" spans="1:9" x14ac:dyDescent="0.25">
      <c r="A139" s="4"/>
      <c r="B139" s="139"/>
      <c r="C139" s="139"/>
      <c r="D139" s="139"/>
      <c r="E139" s="139"/>
      <c r="F139" s="139"/>
      <c r="G139" s="139"/>
      <c r="H139" s="139"/>
      <c r="I139" s="9"/>
    </row>
    <row r="140" spans="1:9" x14ac:dyDescent="0.25">
      <c r="B140" s="146" t="s">
        <v>76</v>
      </c>
      <c r="C140" s="147"/>
      <c r="D140" s="147"/>
      <c r="E140" s="147"/>
      <c r="F140" s="147"/>
      <c r="G140" s="148"/>
      <c r="I140" s="9"/>
    </row>
    <row r="141" spans="1:9" x14ac:dyDescent="0.25">
      <c r="B141" s="36" t="s">
        <v>77</v>
      </c>
      <c r="C141" s="39">
        <v>0</v>
      </c>
      <c r="D141" s="41">
        <v>0</v>
      </c>
      <c r="E141" s="39">
        <v>0</v>
      </c>
      <c r="F141" s="23">
        <v>0</v>
      </c>
      <c r="G141" s="41">
        <f>SUM(C141:F141)</f>
        <v>0</v>
      </c>
      <c r="H141" s="9"/>
      <c r="I141" s="9"/>
    </row>
    <row r="142" spans="1:9" x14ac:dyDescent="0.25">
      <c r="A142" s="4"/>
      <c r="B142" s="139"/>
      <c r="C142" s="139"/>
      <c r="D142" s="139"/>
      <c r="E142" s="139"/>
      <c r="F142" s="139"/>
      <c r="G142" s="139"/>
      <c r="H142" s="139"/>
    </row>
    <row r="143" spans="1:9" ht="21" x14ac:dyDescent="0.35">
      <c r="B143" s="143" t="s">
        <v>78</v>
      </c>
      <c r="C143" s="144"/>
      <c r="D143" s="144"/>
      <c r="E143" s="144"/>
      <c r="F143" s="144"/>
      <c r="G143" s="145"/>
    </row>
    <row r="144" spans="1:9" x14ac:dyDescent="0.25">
      <c r="B144" s="146" t="s">
        <v>79</v>
      </c>
      <c r="C144" s="147"/>
      <c r="D144" s="147"/>
      <c r="E144" s="147"/>
      <c r="F144" s="147"/>
      <c r="G144" s="148"/>
    </row>
    <row r="145" spans="1:8" x14ac:dyDescent="0.25">
      <c r="A145" s="4"/>
      <c r="B145" s="165"/>
      <c r="C145" s="165"/>
      <c r="D145" s="165"/>
      <c r="E145" s="165"/>
      <c r="F145" s="165"/>
      <c r="G145" s="165"/>
      <c r="H145" s="165"/>
    </row>
    <row r="146" spans="1:8" x14ac:dyDescent="0.25">
      <c r="B146" s="156" t="s">
        <v>80</v>
      </c>
      <c r="C146" s="156"/>
      <c r="D146" s="156"/>
      <c r="E146" s="156"/>
      <c r="F146" s="156"/>
      <c r="G146" s="156"/>
    </row>
    <row r="147" spans="1:8" x14ac:dyDescent="0.25">
      <c r="B147" s="36" t="s">
        <v>81</v>
      </c>
      <c r="C147" s="41">
        <v>65</v>
      </c>
      <c r="D147" s="41">
        <v>657</v>
      </c>
      <c r="E147" s="63">
        <v>0</v>
      </c>
      <c r="F147" s="1">
        <v>2569</v>
      </c>
      <c r="G147" s="39">
        <f>SUM(C147:F147)</f>
        <v>3291</v>
      </c>
    </row>
    <row r="148" spans="1:8" x14ac:dyDescent="0.25">
      <c r="B148" s="36" t="s">
        <v>82</v>
      </c>
      <c r="C148" s="41">
        <f>1382000/1000000</f>
        <v>1.3819999999999999</v>
      </c>
      <c r="D148" s="41">
        <v>13.0655</v>
      </c>
      <c r="E148" s="49">
        <v>0</v>
      </c>
      <c r="F148" s="43">
        <v>47.063499999999998</v>
      </c>
      <c r="G148" s="13">
        <f>SUM(C148:F148)</f>
        <v>61.510999999999996</v>
      </c>
    </row>
    <row r="149" spans="1:8" x14ac:dyDescent="0.25">
      <c r="A149" s="4"/>
      <c r="B149" s="139"/>
      <c r="C149" s="139"/>
      <c r="D149" s="139"/>
      <c r="E149" s="139"/>
      <c r="F149" s="139"/>
      <c r="G149" s="139"/>
      <c r="H149" s="139"/>
    </row>
    <row r="150" spans="1:8" x14ac:dyDescent="0.25">
      <c r="B150" s="156" t="s">
        <v>83</v>
      </c>
      <c r="C150" s="156"/>
      <c r="D150" s="156"/>
      <c r="E150" s="156"/>
      <c r="F150" s="156"/>
      <c r="G150" s="156"/>
    </row>
    <row r="151" spans="1:8" x14ac:dyDescent="0.25">
      <c r="B151" s="36" t="s">
        <v>84</v>
      </c>
      <c r="C151" s="36">
        <v>0</v>
      </c>
      <c r="D151" s="66">
        <v>7034</v>
      </c>
      <c r="E151" s="66">
        <v>524</v>
      </c>
      <c r="F151" s="33">
        <v>0</v>
      </c>
      <c r="G151" s="39">
        <f>SUM(C151:F151)</f>
        <v>7558</v>
      </c>
      <c r="H151" s="26"/>
    </row>
    <row r="152" spans="1:8" x14ac:dyDescent="0.25">
      <c r="B152" s="36" t="s">
        <v>85</v>
      </c>
      <c r="C152" s="36">
        <v>0</v>
      </c>
      <c r="D152" s="66">
        <v>276.83</v>
      </c>
      <c r="E152" s="66">
        <f>14197000/1000000</f>
        <v>14.196999999999999</v>
      </c>
      <c r="F152" s="33">
        <v>0</v>
      </c>
      <c r="G152" s="13">
        <f>SUM(C152:F152)</f>
        <v>291.02699999999999</v>
      </c>
      <c r="H152" s="26"/>
    </row>
    <row r="153" spans="1:8" x14ac:dyDescent="0.25">
      <c r="A153" s="4"/>
      <c r="B153" s="139"/>
      <c r="C153" s="139"/>
      <c r="D153" s="139"/>
      <c r="E153" s="139"/>
      <c r="F153" s="139"/>
      <c r="G153" s="139"/>
      <c r="H153" s="139"/>
    </row>
    <row r="154" spans="1:8" x14ac:dyDescent="0.25">
      <c r="B154" s="156" t="s">
        <v>86</v>
      </c>
      <c r="C154" s="156"/>
      <c r="D154" s="156"/>
      <c r="E154" s="156"/>
      <c r="F154" s="156"/>
      <c r="G154" s="156"/>
    </row>
    <row r="155" spans="1:8" x14ac:dyDescent="0.25">
      <c r="B155" s="36" t="s">
        <v>87</v>
      </c>
      <c r="C155" s="36">
        <v>0</v>
      </c>
      <c r="D155" s="41">
        <v>76</v>
      </c>
      <c r="E155" s="53">
        <v>0</v>
      </c>
      <c r="F155" s="53">
        <v>1941</v>
      </c>
      <c r="G155" s="39">
        <f>SUM(C155:F155)</f>
        <v>2017</v>
      </c>
      <c r="H155" s="26"/>
    </row>
    <row r="156" spans="1:8" x14ac:dyDescent="0.25">
      <c r="B156" s="36" t="s">
        <v>88</v>
      </c>
      <c r="C156" s="13">
        <v>0</v>
      </c>
      <c r="D156" s="41">
        <v>0.99</v>
      </c>
      <c r="E156" s="49">
        <v>0</v>
      </c>
      <c r="F156" s="133">
        <v>39.771999999999998</v>
      </c>
      <c r="G156" s="13">
        <f>SUM(C156:F156)</f>
        <v>40.762</v>
      </c>
      <c r="H156" s="26"/>
    </row>
    <row r="157" spans="1:8" x14ac:dyDescent="0.25">
      <c r="A157" s="4"/>
      <c r="B157" s="139"/>
      <c r="C157" s="139"/>
      <c r="D157" s="139"/>
      <c r="E157" s="139"/>
      <c r="F157" s="139"/>
      <c r="G157" s="139"/>
      <c r="H157" s="139"/>
    </row>
    <row r="158" spans="1:8" x14ac:dyDescent="0.25">
      <c r="B158" s="156" t="s">
        <v>89</v>
      </c>
      <c r="C158" s="156"/>
      <c r="D158" s="156"/>
      <c r="E158" s="156"/>
      <c r="F158" s="156"/>
      <c r="G158" s="156"/>
    </row>
    <row r="159" spans="1:8" x14ac:dyDescent="0.25">
      <c r="B159" s="21" t="s">
        <v>90</v>
      </c>
      <c r="C159" s="21">
        <f>+C155+C151+C147</f>
        <v>65</v>
      </c>
      <c r="D159" s="22">
        <f>D147+D151+D155</f>
        <v>7767</v>
      </c>
      <c r="E159" s="22">
        <f>+E155+E151+E147</f>
        <v>524</v>
      </c>
      <c r="F159" s="22">
        <f>+F147+F155</f>
        <v>4510</v>
      </c>
      <c r="G159" s="22">
        <f>SUM(C159:F159)</f>
        <v>12866</v>
      </c>
    </row>
    <row r="160" spans="1:8" x14ac:dyDescent="0.25">
      <c r="B160" s="21" t="s">
        <v>91</v>
      </c>
      <c r="C160" s="131">
        <f>+C156+C152+C148</f>
        <v>1.3819999999999999</v>
      </c>
      <c r="D160" s="22">
        <f>D148+D152+D156</f>
        <v>290.88549999999998</v>
      </c>
      <c r="E160" s="22">
        <f>+E156+E152+E148</f>
        <v>14.196999999999999</v>
      </c>
      <c r="F160" s="22">
        <f>+F148+F156</f>
        <v>86.835499999999996</v>
      </c>
      <c r="G160" s="25">
        <f>SUM(C160:F160)</f>
        <v>393.29999999999995</v>
      </c>
    </row>
    <row r="161" spans="1:8" x14ac:dyDescent="0.25">
      <c r="A161" s="4"/>
      <c r="B161" s="139"/>
      <c r="C161" s="139"/>
      <c r="D161" s="139"/>
      <c r="E161" s="139"/>
      <c r="F161" s="139"/>
      <c r="G161" s="139"/>
      <c r="H161" s="139"/>
    </row>
    <row r="162" spans="1:8" x14ac:dyDescent="0.25">
      <c r="B162" s="153" t="s">
        <v>92</v>
      </c>
      <c r="C162" s="153"/>
      <c r="D162" s="153"/>
      <c r="E162" s="153"/>
      <c r="F162" s="153"/>
      <c r="G162" s="153"/>
    </row>
    <row r="163" spans="1:8" x14ac:dyDescent="0.25">
      <c r="B163" s="17" t="s">
        <v>87</v>
      </c>
      <c r="C163" s="41">
        <v>2334</v>
      </c>
      <c r="D163" s="41">
        <v>36203</v>
      </c>
      <c r="E163" s="41">
        <v>2864</v>
      </c>
      <c r="F163" s="41">
        <v>14156</v>
      </c>
      <c r="G163" s="39">
        <f>SUM(C163:F163)</f>
        <v>55557</v>
      </c>
    </row>
    <row r="164" spans="1:8" x14ac:dyDescent="0.25">
      <c r="B164" s="17" t="s">
        <v>88</v>
      </c>
      <c r="C164" s="41">
        <f>61994169/1000000</f>
        <v>61.994168999999999</v>
      </c>
      <c r="D164" s="41">
        <v>163.99953299999999</v>
      </c>
      <c r="E164" s="41">
        <f>39912721/1000000</f>
        <v>39.912720999999998</v>
      </c>
      <c r="F164" s="41">
        <v>81.224991000000003</v>
      </c>
      <c r="G164" s="13">
        <f>SUM(C164:F164)</f>
        <v>347.13141399999995</v>
      </c>
    </row>
    <row r="165" spans="1:8" x14ac:dyDescent="0.25">
      <c r="A165" s="4"/>
      <c r="B165" s="139"/>
      <c r="C165" s="139"/>
      <c r="D165" s="139"/>
      <c r="E165" s="139"/>
      <c r="F165" s="139"/>
      <c r="G165" s="139"/>
    </row>
    <row r="166" spans="1:8" x14ac:dyDescent="0.25">
      <c r="B166" s="146" t="s">
        <v>93</v>
      </c>
      <c r="C166" s="147"/>
      <c r="D166" s="147"/>
      <c r="E166" s="147"/>
      <c r="F166" s="147"/>
      <c r="G166" s="148"/>
    </row>
    <row r="167" spans="1:8" x14ac:dyDescent="0.25">
      <c r="B167" s="149" t="s">
        <v>94</v>
      </c>
      <c r="C167" s="150"/>
      <c r="D167" s="150"/>
      <c r="E167" s="150"/>
      <c r="F167" s="166"/>
      <c r="G167" s="151"/>
    </row>
    <row r="168" spans="1:8" x14ac:dyDescent="0.25">
      <c r="B168" s="36" t="s">
        <v>95</v>
      </c>
      <c r="C168" s="58">
        <v>93</v>
      </c>
      <c r="D168" s="41">
        <v>2510</v>
      </c>
      <c r="E168" s="41">
        <v>20</v>
      </c>
      <c r="F168" s="41">
        <v>361</v>
      </c>
      <c r="G168" s="79">
        <f>SUM(C168:F168)</f>
        <v>2984</v>
      </c>
    </row>
    <row r="169" spans="1:8" x14ac:dyDescent="0.25">
      <c r="B169" s="36" t="s">
        <v>96</v>
      </c>
      <c r="C169" s="41">
        <f>2325000/1000000</f>
        <v>2.3250000000000002</v>
      </c>
      <c r="D169" s="41">
        <v>42.164999999999999</v>
      </c>
      <c r="E169" s="41">
        <f>400000/1000000</f>
        <v>0.4</v>
      </c>
      <c r="F169" s="41">
        <v>13.815</v>
      </c>
      <c r="G169" s="80">
        <f>SUM(C169:F169)</f>
        <v>58.704999999999998</v>
      </c>
    </row>
    <row r="170" spans="1:8" x14ac:dyDescent="0.25">
      <c r="A170" s="4"/>
      <c r="B170" s="139"/>
      <c r="C170" s="139"/>
      <c r="D170" s="139"/>
      <c r="E170" s="139"/>
      <c r="F170" s="139"/>
      <c r="G170" s="139"/>
    </row>
    <row r="171" spans="1:8" x14ac:dyDescent="0.25">
      <c r="B171" s="149" t="s">
        <v>97</v>
      </c>
      <c r="C171" s="150"/>
      <c r="D171" s="150"/>
      <c r="E171" s="150"/>
      <c r="F171" s="166"/>
      <c r="G171" s="151"/>
    </row>
    <row r="172" spans="1:8" x14ac:dyDescent="0.25">
      <c r="B172" s="36" t="s">
        <v>98</v>
      </c>
      <c r="C172" s="41">
        <v>1260</v>
      </c>
      <c r="D172" s="41">
        <v>534</v>
      </c>
      <c r="E172" s="41">
        <v>134</v>
      </c>
      <c r="F172" s="41">
        <v>327</v>
      </c>
      <c r="G172" s="79">
        <f>SUM(C172:F172)</f>
        <v>2255</v>
      </c>
    </row>
    <row r="173" spans="1:8" x14ac:dyDescent="0.25">
      <c r="B173" s="36" t="s">
        <v>96</v>
      </c>
      <c r="C173" s="41">
        <f>27720000/1000000</f>
        <v>27.72</v>
      </c>
      <c r="D173" s="41">
        <v>11.13</v>
      </c>
      <c r="E173" s="41">
        <f>3350000/1000000</f>
        <v>3.35</v>
      </c>
      <c r="F173" s="41">
        <v>7.1459999999999999</v>
      </c>
      <c r="G173" s="80">
        <f>SUM(C173:F173)</f>
        <v>49.346000000000004</v>
      </c>
    </row>
    <row r="174" spans="1:8" x14ac:dyDescent="0.25">
      <c r="A174" s="4"/>
      <c r="B174" s="139"/>
      <c r="C174" s="139"/>
      <c r="D174" s="139"/>
      <c r="E174" s="139"/>
      <c r="F174" s="139"/>
      <c r="G174" s="139"/>
      <c r="H174" s="139"/>
    </row>
    <row r="175" spans="1:8" x14ac:dyDescent="0.25">
      <c r="B175" s="174" t="s">
        <v>99</v>
      </c>
      <c r="C175" s="175"/>
      <c r="D175" s="175"/>
      <c r="E175" s="175"/>
      <c r="F175" s="178"/>
      <c r="G175" s="176"/>
    </row>
    <row r="176" spans="1:8" x14ac:dyDescent="0.25">
      <c r="B176" s="6" t="s">
        <v>98</v>
      </c>
      <c r="C176" s="41">
        <v>302</v>
      </c>
      <c r="D176" s="41">
        <v>329</v>
      </c>
      <c r="E176" s="41">
        <v>213</v>
      </c>
      <c r="F176" s="41">
        <v>56</v>
      </c>
      <c r="G176" s="104">
        <f>SUM(C176:F176)</f>
        <v>900</v>
      </c>
    </row>
    <row r="177" spans="1:8" x14ac:dyDescent="0.25">
      <c r="B177" s="36" t="s">
        <v>96</v>
      </c>
      <c r="C177" s="41">
        <f>21140000/1000000</f>
        <v>21.14</v>
      </c>
      <c r="D177" s="41">
        <v>26.2</v>
      </c>
      <c r="E177" s="41">
        <f>12194247/1000000</f>
        <v>12.194247000000001</v>
      </c>
      <c r="F177" s="41">
        <v>5.76</v>
      </c>
      <c r="G177" s="90">
        <f>SUM(C177:F177)</f>
        <v>65.294247000000013</v>
      </c>
    </row>
    <row r="178" spans="1:8" x14ac:dyDescent="0.25">
      <c r="A178" s="4"/>
      <c r="B178" s="139"/>
      <c r="C178" s="139"/>
      <c r="D178" s="139"/>
      <c r="E178" s="139"/>
      <c r="F178" s="139"/>
      <c r="G178" s="139"/>
      <c r="H178" s="139"/>
    </row>
    <row r="179" spans="1:8" x14ac:dyDescent="0.25">
      <c r="B179" s="149" t="s">
        <v>100</v>
      </c>
      <c r="C179" s="150"/>
      <c r="D179" s="150"/>
      <c r="E179" s="150"/>
      <c r="F179" s="150"/>
      <c r="G179" s="151"/>
    </row>
    <row r="180" spans="1:8" x14ac:dyDescent="0.25">
      <c r="B180" s="36" t="s">
        <v>98</v>
      </c>
      <c r="C180" s="41">
        <v>285</v>
      </c>
      <c r="D180" s="41">
        <v>3260</v>
      </c>
      <c r="E180" s="41">
        <f t="shared" ref="E180" si="4">+E176+E172+E168+E164</f>
        <v>406.91272099999998</v>
      </c>
      <c r="F180" s="41">
        <f>+F176+F172+F168+F164</f>
        <v>825.22499100000005</v>
      </c>
      <c r="G180" s="39">
        <f>SUM(C180:F180)</f>
        <v>4777.1377119999997</v>
      </c>
    </row>
    <row r="181" spans="1:8" x14ac:dyDescent="0.25">
      <c r="B181" s="36" t="s">
        <v>96</v>
      </c>
      <c r="C181" s="41">
        <f>8700000/1000000</f>
        <v>8.6999999999999993</v>
      </c>
      <c r="D181" s="41">
        <v>150.99642099999997</v>
      </c>
      <c r="E181" s="41">
        <f>+E177+E173+E169+E165</f>
        <v>15.944247000000001</v>
      </c>
      <c r="F181" s="68">
        <f>+F177+F173+F169+F165</f>
        <v>26.720999999999997</v>
      </c>
      <c r="G181" s="13">
        <f>SUM(C181:F181)</f>
        <v>202.36166799999995</v>
      </c>
    </row>
    <row r="182" spans="1:8" x14ac:dyDescent="0.25">
      <c r="A182" s="4"/>
      <c r="B182" s="139"/>
      <c r="C182" s="139"/>
      <c r="D182" s="139"/>
      <c r="E182" s="139"/>
      <c r="F182" s="139"/>
      <c r="G182" s="139"/>
      <c r="H182" s="139"/>
    </row>
    <row r="183" spans="1:8" x14ac:dyDescent="0.25">
      <c r="B183" s="153" t="s">
        <v>101</v>
      </c>
      <c r="C183" s="153"/>
      <c r="D183" s="153"/>
      <c r="E183" s="153"/>
      <c r="F183" s="153"/>
      <c r="G183" s="153"/>
    </row>
    <row r="184" spans="1:8" x14ac:dyDescent="0.25">
      <c r="B184" s="21" t="s">
        <v>102</v>
      </c>
      <c r="C184" s="69">
        <v>1940</v>
      </c>
      <c r="D184" s="69">
        <f>D168+D172+D176+D180</f>
        <v>6633</v>
      </c>
      <c r="E184" s="22">
        <v>55</v>
      </c>
      <c r="F184" s="22">
        <f>+F168+F172+F176+F180</f>
        <v>1569.224991</v>
      </c>
      <c r="G184" s="22">
        <f>SUM(C184:F184)</f>
        <v>10197.224990999999</v>
      </c>
    </row>
    <row r="185" spans="1:8" x14ac:dyDescent="0.25">
      <c r="B185" s="21" t="s">
        <v>103</v>
      </c>
      <c r="C185" s="69">
        <f>59885000/1000000</f>
        <v>59.884999999999998</v>
      </c>
      <c r="D185" s="69">
        <f>D169+D173+D177+D181</f>
        <v>230.49142099999997</v>
      </c>
      <c r="E185" s="22">
        <f>2310000/1000000</f>
        <v>2.31</v>
      </c>
      <c r="F185" s="22">
        <f>F168+F173+F177+F181+F164</f>
        <v>481.851991</v>
      </c>
      <c r="G185" s="25">
        <f>SUM(C185:F185)</f>
        <v>774.53841199999999</v>
      </c>
    </row>
    <row r="186" spans="1:8" x14ac:dyDescent="0.25">
      <c r="A186" s="4"/>
      <c r="B186" s="139"/>
      <c r="C186" s="139"/>
      <c r="D186" s="139"/>
      <c r="E186" s="139"/>
      <c r="F186" s="139"/>
      <c r="G186" s="139"/>
      <c r="H186" s="139"/>
    </row>
    <row r="187" spans="1:8" x14ac:dyDescent="0.25">
      <c r="B187" s="146" t="s">
        <v>104</v>
      </c>
      <c r="C187" s="147"/>
      <c r="D187" s="147"/>
      <c r="E187" s="147"/>
      <c r="F187" s="147"/>
      <c r="G187" s="148"/>
    </row>
    <row r="188" spans="1:8" x14ac:dyDescent="0.25">
      <c r="B188" s="17" t="s">
        <v>105</v>
      </c>
      <c r="C188" s="41">
        <v>254</v>
      </c>
      <c r="D188" s="41">
        <v>277</v>
      </c>
      <c r="E188" s="41">
        <v>55</v>
      </c>
      <c r="F188" s="41">
        <f>F167+F172+F176+F180+F163</f>
        <v>15364.224990999999</v>
      </c>
      <c r="G188" s="39">
        <f>SUM(C188:F188)</f>
        <v>15950.224990999999</v>
      </c>
    </row>
    <row r="189" spans="1:8" x14ac:dyDescent="0.25">
      <c r="B189" s="17" t="s">
        <v>106</v>
      </c>
      <c r="C189" s="41">
        <f>2974743/1000000</f>
        <v>2.9747430000000001</v>
      </c>
      <c r="D189" s="41">
        <v>3.20187</v>
      </c>
      <c r="E189" s="41">
        <f>2310000/1000000</f>
        <v>2.31</v>
      </c>
      <c r="F189" s="41">
        <f>F168+F173+F177+F181+F164</f>
        <v>481.851991</v>
      </c>
      <c r="G189" s="13">
        <f>SUM(C189:F189)</f>
        <v>490.33860399999998</v>
      </c>
    </row>
    <row r="190" spans="1:8" x14ac:dyDescent="0.25">
      <c r="A190" s="4"/>
      <c r="B190" s="139"/>
      <c r="C190" s="139"/>
      <c r="D190" s="139"/>
      <c r="E190" s="139"/>
      <c r="F190" s="139"/>
      <c r="G190" s="139"/>
      <c r="H190" s="139"/>
    </row>
    <row r="191" spans="1:8" x14ac:dyDescent="0.25">
      <c r="B191" s="153" t="s">
        <v>107</v>
      </c>
      <c r="C191" s="153"/>
      <c r="D191" s="153"/>
      <c r="E191" s="153"/>
      <c r="F191" s="153"/>
      <c r="G191" s="153"/>
    </row>
    <row r="192" spans="1:8" x14ac:dyDescent="0.25">
      <c r="B192" s="21" t="s">
        <v>108</v>
      </c>
      <c r="C192" s="22">
        <v>4594</v>
      </c>
      <c r="D192" s="22">
        <f>+D188+D184+D163+D159</f>
        <v>50880</v>
      </c>
      <c r="E192" s="22">
        <f t="shared" ref="E192:E193" si="5">+E188+E184+E163+E159</f>
        <v>3498</v>
      </c>
      <c r="F192" s="22">
        <f>F159+F163+F184+F188</f>
        <v>35599.449981999998</v>
      </c>
      <c r="G192" s="22">
        <f>SUM(C192:F192)</f>
        <v>94571.449981999991</v>
      </c>
    </row>
    <row r="193" spans="2:7" x14ac:dyDescent="0.25">
      <c r="B193" s="21" t="s">
        <v>109</v>
      </c>
      <c r="C193" s="22">
        <f>126490912/1000000</f>
        <v>126.49091199999999</v>
      </c>
      <c r="D193" s="22">
        <f>+D189+D185+D164+D160</f>
        <v>688.57832399999995</v>
      </c>
      <c r="E193" s="22">
        <f t="shared" si="5"/>
        <v>58.729720999999998</v>
      </c>
      <c r="F193" s="22">
        <f>F160+F185+F164+F189</f>
        <v>1131.7644730000002</v>
      </c>
      <c r="G193" s="25">
        <f>SUM(C193:F193)</f>
        <v>2005.5634300000002</v>
      </c>
    </row>
    <row r="194" spans="2:7" s="1" customFormat="1" x14ac:dyDescent="0.25">
      <c r="G194" s="9"/>
    </row>
    <row r="195" spans="2:7" s="1" customFormat="1" x14ac:dyDescent="0.25">
      <c r="C195" s="9"/>
      <c r="G195" s="9"/>
    </row>
    <row r="196" spans="2:7" s="1" customFormat="1" x14ac:dyDescent="0.25">
      <c r="G196" s="9"/>
    </row>
    <row r="197" spans="2:7" s="1" customFormat="1" x14ac:dyDescent="0.25">
      <c r="B197" s="1" t="s">
        <v>110</v>
      </c>
      <c r="C197" s="10"/>
      <c r="G197" s="9"/>
    </row>
  </sheetData>
  <mergeCells count="80">
    <mergeCell ref="B187:G187"/>
    <mergeCell ref="B190:H190"/>
    <mergeCell ref="B191:G191"/>
    <mergeCell ref="B175:G175"/>
    <mergeCell ref="B178:H178"/>
    <mergeCell ref="B179:G179"/>
    <mergeCell ref="B182:H182"/>
    <mergeCell ref="B183:G183"/>
    <mergeCell ref="B186:H186"/>
    <mergeCell ref="B174:H174"/>
    <mergeCell ref="B153:H153"/>
    <mergeCell ref="B154:G154"/>
    <mergeCell ref="B157:H157"/>
    <mergeCell ref="B158:G158"/>
    <mergeCell ref="B161:H161"/>
    <mergeCell ref="B162:G162"/>
    <mergeCell ref="B165:G165"/>
    <mergeCell ref="B166:G166"/>
    <mergeCell ref="B167:G167"/>
    <mergeCell ref="B170:G170"/>
    <mergeCell ref="B171:G171"/>
    <mergeCell ref="B150:G150"/>
    <mergeCell ref="B134:H134"/>
    <mergeCell ref="B135:G135"/>
    <mergeCell ref="B136:G136"/>
    <mergeCell ref="B139:H139"/>
    <mergeCell ref="B140:G140"/>
    <mergeCell ref="B142:H142"/>
    <mergeCell ref="B143:G143"/>
    <mergeCell ref="B144:G144"/>
    <mergeCell ref="B145:H145"/>
    <mergeCell ref="B146:G146"/>
    <mergeCell ref="B149:H149"/>
    <mergeCell ref="B132:G132"/>
    <mergeCell ref="B105:G105"/>
    <mergeCell ref="B109:G109"/>
    <mergeCell ref="B113:I113"/>
    <mergeCell ref="B114:G114"/>
    <mergeCell ref="B118:G118"/>
    <mergeCell ref="B122:H122"/>
    <mergeCell ref="B123:G123"/>
    <mergeCell ref="B125:G125"/>
    <mergeCell ref="B127:H127"/>
    <mergeCell ref="B128:G128"/>
    <mergeCell ref="B131:H131"/>
    <mergeCell ref="B104:G104"/>
    <mergeCell ref="B53:G53"/>
    <mergeCell ref="B59:G59"/>
    <mergeCell ref="B65:G65"/>
    <mergeCell ref="B71:G71"/>
    <mergeCell ref="B77:H77"/>
    <mergeCell ref="B78:G78"/>
    <mergeCell ref="B79:G79"/>
    <mergeCell ref="B85:G85"/>
    <mergeCell ref="B91:G91"/>
    <mergeCell ref="B97:G97"/>
    <mergeCell ref="B103:H103"/>
    <mergeCell ref="B52:G52"/>
    <mergeCell ref="B32:G32"/>
    <mergeCell ref="B36:H36"/>
    <mergeCell ref="B37:G37"/>
    <mergeCell ref="B38:G38"/>
    <mergeCell ref="B41:H41"/>
    <mergeCell ref="B42:G42"/>
    <mergeCell ref="B46:G46"/>
    <mergeCell ref="B49:H49"/>
    <mergeCell ref="B50:G50"/>
    <mergeCell ref="B51:H51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Ene-20</vt:lpstr>
      <vt:lpstr>Feb-20 </vt:lpstr>
      <vt:lpstr>Mar-20  </vt:lpstr>
      <vt:lpstr>Abr-20</vt:lpstr>
      <vt:lpstr>May-20 </vt:lpstr>
      <vt:lpstr>Jun-20</vt:lpstr>
      <vt:lpstr>Jul-20</vt:lpstr>
      <vt:lpstr>Ago-20</vt:lpstr>
      <vt:lpstr>Sep-20</vt:lpstr>
      <vt:lpstr>Oct-20</vt:lpstr>
      <vt:lpstr>Nov-20</vt:lpstr>
      <vt:lpstr>Dic-20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Manuel Quezada Carcamo</cp:lastModifiedBy>
  <cp:revision/>
  <dcterms:created xsi:type="dcterms:W3CDTF">2020-04-29T19:55:58Z</dcterms:created>
  <dcterms:modified xsi:type="dcterms:W3CDTF">2021-03-01T12:22:47Z</dcterms:modified>
  <cp:category/>
  <cp:contentStatus/>
</cp:coreProperties>
</file>