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0ABE7544-DEF6-4A7D-8DA2-48775BE8E982}" xr6:coauthVersionLast="47" xr6:coauthVersionMax="47" xr10:uidLastSave="{00000000-0000-0000-0000-000000000000}"/>
  <bookViews>
    <workbookView xWindow="0" yWindow="0" windowWidth="10245" windowHeight="10920" tabRatio="781" firstSheet="8" activeTab="11" xr2:uid="{00000000-000D-0000-FFFF-FFFF00000000}"/>
  </bookViews>
  <sheets>
    <sheet name="Ene-23" sheetId="68" r:id="rId1"/>
    <sheet name="Feb-23" sheetId="80" r:id="rId2"/>
    <sheet name="Mar-23" sheetId="81" r:id="rId3"/>
    <sheet name="Abr-23" sheetId="82" r:id="rId4"/>
    <sheet name="May-23" sheetId="83" r:id="rId5"/>
    <sheet name="Jun-23" sheetId="84" r:id="rId6"/>
    <sheet name="Jul-23" sheetId="85" r:id="rId7"/>
    <sheet name="Ago-23" sheetId="86" r:id="rId8"/>
    <sheet name="Sep-23" sheetId="87" r:id="rId9"/>
    <sheet name="Oct-23" sheetId="88" r:id="rId10"/>
    <sheet name="Nov-23" sheetId="89" r:id="rId11"/>
    <sheet name="Dic-23" sheetId="90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86" l="1"/>
  <c r="C76" i="86"/>
  <c r="E184" i="90" l="1"/>
  <c r="F184" i="89"/>
  <c r="E183" i="90"/>
  <c r="F183" i="89"/>
  <c r="E103" i="90"/>
  <c r="E102" i="90"/>
  <c r="C103" i="90" l="1"/>
  <c r="C102" i="90"/>
  <c r="C74" i="90"/>
  <c r="C73" i="90"/>
  <c r="C35" i="90"/>
  <c r="C27" i="90"/>
  <c r="C8" i="90"/>
  <c r="B188" i="90" l="1"/>
  <c r="B180" i="90"/>
  <c r="B176" i="90"/>
  <c r="B172" i="90"/>
  <c r="B168" i="90"/>
  <c r="B163" i="90"/>
  <c r="B77" i="90"/>
  <c r="B76" i="90"/>
  <c r="B74" i="90"/>
  <c r="B73" i="90"/>
  <c r="B49" i="90"/>
  <c r="B45" i="90"/>
  <c r="B41" i="90"/>
  <c r="B35" i="90"/>
  <c r="B14" i="90"/>
  <c r="B16" i="90" s="1"/>
  <c r="B8" i="90"/>
  <c r="F103" i="89"/>
  <c r="F102" i="89"/>
  <c r="D103" i="89"/>
  <c r="D102" i="89"/>
  <c r="D35" i="89"/>
  <c r="D27" i="89"/>
  <c r="G19" i="89"/>
  <c r="C188" i="89"/>
  <c r="C180" i="89"/>
  <c r="C176" i="89"/>
  <c r="C172" i="89"/>
  <c r="C168" i="89"/>
  <c r="C163" i="89"/>
  <c r="C77" i="89"/>
  <c r="C76" i="89"/>
  <c r="C74" i="89"/>
  <c r="C73" i="89"/>
  <c r="C49" i="89"/>
  <c r="C45" i="89"/>
  <c r="C14" i="89"/>
  <c r="C16" i="89" s="1"/>
  <c r="C8" i="89"/>
  <c r="E188" i="88"/>
  <c r="E187" i="88"/>
  <c r="E103" i="88"/>
  <c r="E102" i="88"/>
  <c r="D14" i="88"/>
  <c r="D16" i="88" s="1"/>
  <c r="D8" i="88"/>
  <c r="C77" i="88" l="1"/>
  <c r="C76" i="88"/>
  <c r="C74" i="88"/>
  <c r="C73" i="88"/>
  <c r="C35" i="88"/>
  <c r="C16" i="88"/>
  <c r="C8" i="88"/>
  <c r="B188" i="88" l="1"/>
  <c r="B180" i="88"/>
  <c r="B176" i="88"/>
  <c r="B172" i="88"/>
  <c r="B168" i="88"/>
  <c r="B163" i="88"/>
  <c r="B77" i="88"/>
  <c r="B76" i="88"/>
  <c r="B74" i="88"/>
  <c r="B73" i="88"/>
  <c r="B49" i="88"/>
  <c r="B45" i="88"/>
  <c r="B41" i="88"/>
  <c r="B35" i="88"/>
  <c r="B14" i="88"/>
  <c r="B16" i="88" s="1"/>
  <c r="B8" i="88"/>
  <c r="E184" i="87"/>
  <c r="E184" i="86"/>
  <c r="E183" i="87"/>
  <c r="E183" i="86"/>
  <c r="F127" i="87"/>
  <c r="E103" i="87"/>
  <c r="E102" i="87"/>
  <c r="C27" i="87" l="1"/>
  <c r="C8" i="87"/>
  <c r="B188" i="87" l="1"/>
  <c r="B180" i="87"/>
  <c r="B176" i="87"/>
  <c r="B172" i="87"/>
  <c r="B168" i="87"/>
  <c r="B163" i="87"/>
  <c r="B103" i="87"/>
  <c r="B102" i="87"/>
  <c r="B77" i="87"/>
  <c r="B76" i="87"/>
  <c r="B74" i="87"/>
  <c r="B73" i="87"/>
  <c r="B49" i="87"/>
  <c r="B45" i="87"/>
  <c r="B41" i="87"/>
  <c r="B35" i="87"/>
  <c r="B14" i="87"/>
  <c r="B16" i="87" s="1"/>
  <c r="B8" i="87"/>
  <c r="F127" i="86"/>
  <c r="E188" i="86"/>
  <c r="E187" i="86"/>
  <c r="E103" i="86"/>
  <c r="E102" i="86"/>
  <c r="C159" i="86" l="1"/>
  <c r="C158" i="86"/>
  <c r="B188" i="86" l="1"/>
  <c r="B180" i="86"/>
  <c r="B176" i="86"/>
  <c r="B172" i="86"/>
  <c r="B168" i="86"/>
  <c r="B163" i="86"/>
  <c r="B77" i="86"/>
  <c r="B76" i="86"/>
  <c r="B74" i="86"/>
  <c r="B73" i="86"/>
  <c r="B49" i="86"/>
  <c r="B45" i="86"/>
  <c r="B41" i="86"/>
  <c r="B35" i="86"/>
  <c r="B14" i="86"/>
  <c r="B16" i="86" s="1"/>
  <c r="B8" i="86"/>
  <c r="F103" i="85"/>
  <c r="F102" i="85"/>
  <c r="D8" i="85" l="1"/>
  <c r="C188" i="85" l="1"/>
  <c r="C180" i="85"/>
  <c r="C176" i="85"/>
  <c r="C172" i="85"/>
  <c r="C168" i="85"/>
  <c r="C163" i="85"/>
  <c r="C77" i="85"/>
  <c r="C76" i="85"/>
  <c r="C74" i="85"/>
  <c r="C73" i="85"/>
  <c r="C49" i="85"/>
  <c r="C45" i="85"/>
  <c r="C41" i="85"/>
  <c r="C8" i="85"/>
  <c r="E192" i="84"/>
  <c r="E191" i="84"/>
  <c r="G127" i="84"/>
  <c r="F103" i="84"/>
  <c r="F102" i="84"/>
  <c r="C45" i="84" l="1"/>
  <c r="F127" i="83"/>
  <c r="E103" i="83"/>
  <c r="E102" i="83"/>
  <c r="E77" i="83"/>
  <c r="E76" i="83"/>
  <c r="E74" i="83"/>
  <c r="E73" i="83"/>
  <c r="C103" i="83" l="1"/>
  <c r="C102" i="83"/>
  <c r="C8" i="83"/>
  <c r="B188" i="83" l="1"/>
  <c r="B180" i="83"/>
  <c r="B176" i="83"/>
  <c r="B172" i="83"/>
  <c r="B168" i="83"/>
  <c r="B163" i="83"/>
  <c r="B77" i="83"/>
  <c r="B76" i="83"/>
  <c r="B74" i="83"/>
  <c r="B73" i="83"/>
  <c r="B49" i="83"/>
  <c r="B45" i="83"/>
  <c r="B41" i="83"/>
  <c r="B35" i="83"/>
  <c r="B14" i="83"/>
  <c r="B16" i="83" s="1"/>
  <c r="F158" i="81"/>
  <c r="F103" i="81"/>
  <c r="F102" i="81"/>
  <c r="E49" i="81"/>
  <c r="E14" i="81"/>
  <c r="E16" i="81" s="1"/>
  <c r="C188" i="81" l="1"/>
  <c r="C180" i="81"/>
  <c r="C176" i="81"/>
  <c r="C172" i="81"/>
  <c r="C168" i="81"/>
  <c r="C163" i="81"/>
  <c r="C77" i="81"/>
  <c r="C76" i="81"/>
  <c r="C74" i="81"/>
  <c r="C73" i="81"/>
  <c r="C45" i="81"/>
  <c r="C41" i="81"/>
  <c r="C8" i="81"/>
  <c r="F103" i="80"/>
  <c r="F102" i="80"/>
  <c r="E184" i="80"/>
  <c r="E183" i="80"/>
  <c r="E49" i="80"/>
  <c r="E8" i="80"/>
  <c r="D103" i="80" l="1"/>
  <c r="D102" i="80"/>
  <c r="D35" i="80"/>
  <c r="D16" i="80"/>
  <c r="D8" i="80"/>
  <c r="C188" i="80" l="1"/>
  <c r="C180" i="80"/>
  <c r="C176" i="80"/>
  <c r="C172" i="80"/>
  <c r="C168" i="80"/>
  <c r="C163" i="80"/>
  <c r="C77" i="80"/>
  <c r="C76" i="80"/>
  <c r="C74" i="80"/>
  <c r="C73" i="80"/>
  <c r="C49" i="80"/>
  <c r="C45" i="80"/>
  <c r="C41" i="80"/>
  <c r="C35" i="80"/>
  <c r="E188" i="68"/>
  <c r="E176" i="68"/>
  <c r="E172" i="68"/>
  <c r="E168" i="68"/>
  <c r="E163" i="68"/>
  <c r="E49" i="68"/>
  <c r="E8" i="68"/>
  <c r="F103" i="68" l="1"/>
  <c r="F102" i="68"/>
  <c r="D103" i="68"/>
  <c r="D102" i="68"/>
  <c r="D77" i="68"/>
  <c r="D76" i="68"/>
  <c r="D75" i="68"/>
  <c r="D74" i="68"/>
  <c r="D73" i="68"/>
  <c r="D27" i="68"/>
  <c r="C188" i="68" l="1"/>
  <c r="C180" i="68"/>
  <c r="C176" i="68"/>
  <c r="C172" i="68"/>
  <c r="C168" i="68"/>
  <c r="C163" i="68"/>
  <c r="C77" i="68"/>
  <c r="C76" i="68"/>
  <c r="C74" i="68"/>
  <c r="C73" i="68"/>
  <c r="C49" i="68"/>
  <c r="C45" i="68"/>
  <c r="C41" i="68"/>
  <c r="F188" i="90"/>
  <c r="F187" i="90"/>
  <c r="B184" i="90"/>
  <c r="B183" i="90"/>
  <c r="B191" i="90" s="1"/>
  <c r="F180" i="90"/>
  <c r="F179" i="90"/>
  <c r="F176" i="90"/>
  <c r="F175" i="90"/>
  <c r="F172" i="90"/>
  <c r="F171" i="90"/>
  <c r="F168" i="90"/>
  <c r="F167" i="90"/>
  <c r="F163" i="90"/>
  <c r="F162" i="90"/>
  <c r="E159" i="90"/>
  <c r="E158" i="90"/>
  <c r="F155" i="90"/>
  <c r="F154" i="90"/>
  <c r="F151" i="90"/>
  <c r="F150" i="90"/>
  <c r="F147" i="90"/>
  <c r="F146" i="90"/>
  <c r="F139" i="90"/>
  <c r="F138" i="90"/>
  <c r="F134" i="90"/>
  <c r="F131" i="90"/>
  <c r="F130" i="90"/>
  <c r="F127" i="90"/>
  <c r="F125" i="90"/>
  <c r="F122" i="90"/>
  <c r="F121" i="90"/>
  <c r="F120" i="90"/>
  <c r="F118" i="90"/>
  <c r="F117" i="90"/>
  <c r="F116" i="90"/>
  <c r="F113" i="90"/>
  <c r="F112" i="90"/>
  <c r="F111" i="90"/>
  <c r="F109" i="90"/>
  <c r="F108" i="90"/>
  <c r="F107" i="90"/>
  <c r="D103" i="90"/>
  <c r="B103" i="90"/>
  <c r="D102" i="90"/>
  <c r="B102" i="90"/>
  <c r="F101" i="90"/>
  <c r="F100" i="90"/>
  <c r="F99" i="90"/>
  <c r="F97" i="90"/>
  <c r="F96" i="90"/>
  <c r="F95" i="90"/>
  <c r="F94" i="90"/>
  <c r="F93" i="90"/>
  <c r="F91" i="90"/>
  <c r="F90" i="90"/>
  <c r="F89" i="90"/>
  <c r="F88" i="90"/>
  <c r="F87" i="90"/>
  <c r="F85" i="90"/>
  <c r="F84" i="90"/>
  <c r="F83" i="90"/>
  <c r="F82" i="90"/>
  <c r="F81" i="90"/>
  <c r="F77" i="90"/>
  <c r="F76" i="90"/>
  <c r="F75" i="90"/>
  <c r="F74" i="90"/>
  <c r="F73" i="90"/>
  <c r="F71" i="90"/>
  <c r="F70" i="90"/>
  <c r="F69" i="90"/>
  <c r="F68" i="90"/>
  <c r="F67" i="90"/>
  <c r="F65" i="90"/>
  <c r="F64" i="90"/>
  <c r="F61" i="90"/>
  <c r="F59" i="90"/>
  <c r="F58" i="90"/>
  <c r="F57" i="90"/>
  <c r="F56" i="90"/>
  <c r="F55" i="90"/>
  <c r="F49" i="90"/>
  <c r="F48" i="90"/>
  <c r="F45" i="90"/>
  <c r="F44" i="90"/>
  <c r="F41" i="90"/>
  <c r="F40" i="90"/>
  <c r="F35" i="90"/>
  <c r="F34" i="90"/>
  <c r="F33" i="90"/>
  <c r="F30" i="90"/>
  <c r="D27" i="90"/>
  <c r="F24" i="90"/>
  <c r="E21" i="90"/>
  <c r="E27" i="90" s="1"/>
  <c r="B21" i="90"/>
  <c r="B27" i="90" s="1"/>
  <c r="F19" i="90"/>
  <c r="F16" i="90"/>
  <c r="F15" i="90"/>
  <c r="F14" i="90"/>
  <c r="F13" i="90"/>
  <c r="F12" i="90"/>
  <c r="F8" i="90"/>
  <c r="F7" i="90"/>
  <c r="F6" i="90"/>
  <c r="G188" i="89"/>
  <c r="G187" i="89"/>
  <c r="C184" i="89"/>
  <c r="G184" i="89" s="1"/>
  <c r="C183" i="89"/>
  <c r="G180" i="89"/>
  <c r="G179" i="89"/>
  <c r="G176" i="89"/>
  <c r="G175" i="89"/>
  <c r="G172" i="89"/>
  <c r="G171" i="89"/>
  <c r="G168" i="89"/>
  <c r="G167" i="89"/>
  <c r="G163" i="89"/>
  <c r="G162" i="89"/>
  <c r="F159" i="89"/>
  <c r="G159" i="89" s="1"/>
  <c r="F158" i="89"/>
  <c r="F191" i="89" s="1"/>
  <c r="G155" i="89"/>
  <c r="G154" i="89"/>
  <c r="G151" i="89"/>
  <c r="G150" i="89"/>
  <c r="G147" i="89"/>
  <c r="G146" i="89"/>
  <c r="G139" i="89"/>
  <c r="G138" i="89"/>
  <c r="G134" i="89"/>
  <c r="G131" i="89"/>
  <c r="G130" i="89"/>
  <c r="G127" i="89"/>
  <c r="G125" i="89"/>
  <c r="G122" i="89"/>
  <c r="G121" i="89"/>
  <c r="G120" i="89"/>
  <c r="G118" i="89"/>
  <c r="G117" i="89"/>
  <c r="G116" i="89"/>
  <c r="G113" i="89"/>
  <c r="G112" i="89"/>
  <c r="G111" i="89"/>
  <c r="G109" i="89"/>
  <c r="G108" i="89"/>
  <c r="G107" i="89"/>
  <c r="E103" i="89"/>
  <c r="C103" i="89"/>
  <c r="G103" i="89" s="1"/>
  <c r="E102" i="89"/>
  <c r="C102" i="89"/>
  <c r="G102" i="89" s="1"/>
  <c r="G101" i="89"/>
  <c r="G100" i="89"/>
  <c r="G99" i="89"/>
  <c r="G97" i="89"/>
  <c r="G96" i="89"/>
  <c r="G95" i="89"/>
  <c r="G94" i="89"/>
  <c r="G93" i="89"/>
  <c r="G91" i="89"/>
  <c r="G90" i="89"/>
  <c r="G89" i="89"/>
  <c r="G88" i="89"/>
  <c r="G87" i="89"/>
  <c r="G85" i="89"/>
  <c r="G84" i="89"/>
  <c r="G83" i="89"/>
  <c r="G82" i="89"/>
  <c r="G81" i="89"/>
  <c r="G77" i="89"/>
  <c r="G76" i="89"/>
  <c r="G75" i="89"/>
  <c r="G74" i="89"/>
  <c r="G73" i="89"/>
  <c r="G71" i="89"/>
  <c r="G70" i="89"/>
  <c r="G69" i="89"/>
  <c r="G68" i="89"/>
  <c r="G67" i="89"/>
  <c r="G65" i="89"/>
  <c r="G64" i="89"/>
  <c r="G61" i="89"/>
  <c r="G59" i="89"/>
  <c r="G58" i="89"/>
  <c r="G57" i="89"/>
  <c r="G56" i="89"/>
  <c r="G55" i="89"/>
  <c r="G49" i="89"/>
  <c r="G48" i="89"/>
  <c r="G45" i="89"/>
  <c r="G44" i="89"/>
  <c r="G41" i="89"/>
  <c r="G40" i="89"/>
  <c r="G35" i="89"/>
  <c r="G34" i="89"/>
  <c r="G33" i="89"/>
  <c r="G30" i="89"/>
  <c r="E27" i="89"/>
  <c r="G24" i="89"/>
  <c r="F21" i="89"/>
  <c r="F27" i="89" s="1"/>
  <c r="C21" i="89"/>
  <c r="C27" i="89" s="1"/>
  <c r="G27" i="89" s="1"/>
  <c r="G16" i="89"/>
  <c r="G15" i="89"/>
  <c r="G14" i="89"/>
  <c r="G13" i="89"/>
  <c r="G12" i="89"/>
  <c r="G8" i="89"/>
  <c r="G7" i="89"/>
  <c r="G6" i="89"/>
  <c r="F188" i="88"/>
  <c r="F187" i="88"/>
  <c r="E184" i="88"/>
  <c r="B184" i="88"/>
  <c r="E183" i="88"/>
  <c r="B183" i="88"/>
  <c r="B191" i="88" s="1"/>
  <c r="F180" i="88"/>
  <c r="F179" i="88"/>
  <c r="F176" i="88"/>
  <c r="F175" i="88"/>
  <c r="F172" i="88"/>
  <c r="F171" i="88"/>
  <c r="F168" i="88"/>
  <c r="F167" i="88"/>
  <c r="F163" i="88"/>
  <c r="F162" i="88"/>
  <c r="E159" i="88"/>
  <c r="F159" i="88" s="1"/>
  <c r="E158" i="88"/>
  <c r="F155" i="88"/>
  <c r="F154" i="88"/>
  <c r="F151" i="88"/>
  <c r="F150" i="88"/>
  <c r="F147" i="88"/>
  <c r="F146" i="88"/>
  <c r="F139" i="88"/>
  <c r="F138" i="88"/>
  <c r="F134" i="88"/>
  <c r="F131" i="88"/>
  <c r="F130" i="88"/>
  <c r="F127" i="88"/>
  <c r="F125" i="88"/>
  <c r="F122" i="88"/>
  <c r="F121" i="88"/>
  <c r="F120" i="88"/>
  <c r="F118" i="88"/>
  <c r="F117" i="88"/>
  <c r="F116" i="88"/>
  <c r="F113" i="88"/>
  <c r="F112" i="88"/>
  <c r="F111" i="88"/>
  <c r="F109" i="88"/>
  <c r="F108" i="88"/>
  <c r="F107" i="88"/>
  <c r="D103" i="88"/>
  <c r="B103" i="88"/>
  <c r="D102" i="88"/>
  <c r="B102" i="88"/>
  <c r="F102" i="88" s="1"/>
  <c r="F101" i="88"/>
  <c r="F100" i="88"/>
  <c r="F99" i="88"/>
  <c r="F97" i="88"/>
  <c r="F96" i="88"/>
  <c r="F95" i="88"/>
  <c r="F94" i="88"/>
  <c r="F93" i="88"/>
  <c r="F91" i="88"/>
  <c r="F90" i="88"/>
  <c r="F89" i="88"/>
  <c r="F88" i="88"/>
  <c r="F87" i="88"/>
  <c r="F85" i="88"/>
  <c r="F84" i="88"/>
  <c r="F83" i="88"/>
  <c r="F82" i="88"/>
  <c r="F81" i="88"/>
  <c r="F77" i="88"/>
  <c r="F76" i="88"/>
  <c r="F75" i="88"/>
  <c r="F74" i="88"/>
  <c r="F73" i="88"/>
  <c r="F71" i="88"/>
  <c r="F70" i="88"/>
  <c r="F69" i="88"/>
  <c r="F68" i="88"/>
  <c r="F67" i="88"/>
  <c r="F65" i="88"/>
  <c r="F64" i="88"/>
  <c r="F61" i="88"/>
  <c r="F59" i="88"/>
  <c r="F58" i="88"/>
  <c r="F57" i="88"/>
  <c r="F56" i="88"/>
  <c r="F55" i="88"/>
  <c r="F49" i="88"/>
  <c r="F48" i="88"/>
  <c r="F45" i="88"/>
  <c r="F44" i="88"/>
  <c r="F41" i="88"/>
  <c r="F40" i="88"/>
  <c r="F35" i="88"/>
  <c r="F34" i="88"/>
  <c r="F33" i="88"/>
  <c r="F30" i="88"/>
  <c r="D27" i="88"/>
  <c r="F24" i="88"/>
  <c r="E21" i="88"/>
  <c r="E27" i="88" s="1"/>
  <c r="B21" i="88"/>
  <c r="B27" i="88" s="1"/>
  <c r="F19" i="88"/>
  <c r="F16" i="88"/>
  <c r="F15" i="88"/>
  <c r="F14" i="88"/>
  <c r="F13" i="88"/>
  <c r="F12" i="88"/>
  <c r="F8" i="88"/>
  <c r="F7" i="88"/>
  <c r="F6" i="88"/>
  <c r="F188" i="87"/>
  <c r="F187" i="87"/>
  <c r="B184" i="87"/>
  <c r="B183" i="87"/>
  <c r="B191" i="87" s="1"/>
  <c r="F180" i="87"/>
  <c r="F179" i="87"/>
  <c r="F176" i="87"/>
  <c r="F175" i="87"/>
  <c r="F172" i="87"/>
  <c r="F171" i="87"/>
  <c r="F168" i="87"/>
  <c r="F167" i="87"/>
  <c r="F163" i="87"/>
  <c r="F162" i="87"/>
  <c r="E159" i="87"/>
  <c r="F159" i="87" s="1"/>
  <c r="E158" i="87"/>
  <c r="F155" i="87"/>
  <c r="F154" i="87"/>
  <c r="F151" i="87"/>
  <c r="F150" i="87"/>
  <c r="F147" i="87"/>
  <c r="F146" i="87"/>
  <c r="F139" i="87"/>
  <c r="F138" i="87"/>
  <c r="F134" i="87"/>
  <c r="F131" i="87"/>
  <c r="F130" i="87"/>
  <c r="F125" i="87"/>
  <c r="F122" i="87"/>
  <c r="F121" i="87"/>
  <c r="F120" i="87"/>
  <c r="F118" i="87"/>
  <c r="F117" i="87"/>
  <c r="F116" i="87"/>
  <c r="F113" i="87"/>
  <c r="F112" i="87"/>
  <c r="F111" i="87"/>
  <c r="F109" i="87"/>
  <c r="F108" i="87"/>
  <c r="F107" i="87"/>
  <c r="D103" i="87"/>
  <c r="D102" i="87"/>
  <c r="F101" i="87"/>
  <c r="F100" i="87"/>
  <c r="F99" i="87"/>
  <c r="F97" i="87"/>
  <c r="F96" i="87"/>
  <c r="F95" i="87"/>
  <c r="F94" i="87"/>
  <c r="F93" i="87"/>
  <c r="F91" i="87"/>
  <c r="F90" i="87"/>
  <c r="F89" i="87"/>
  <c r="F88" i="87"/>
  <c r="F87" i="87"/>
  <c r="F85" i="87"/>
  <c r="F84" i="87"/>
  <c r="F83" i="87"/>
  <c r="F82" i="87"/>
  <c r="F81" i="87"/>
  <c r="F77" i="87"/>
  <c r="F76" i="87"/>
  <c r="F75" i="87"/>
  <c r="F74" i="87"/>
  <c r="F73" i="87"/>
  <c r="F71" i="87"/>
  <c r="F70" i="87"/>
  <c r="F69" i="87"/>
  <c r="F68" i="87"/>
  <c r="F67" i="87"/>
  <c r="F65" i="87"/>
  <c r="F64" i="87"/>
  <c r="F61" i="87"/>
  <c r="F59" i="87"/>
  <c r="F58" i="87"/>
  <c r="F57" i="87"/>
  <c r="F56" i="87"/>
  <c r="F55" i="87"/>
  <c r="F49" i="87"/>
  <c r="F48" i="87"/>
  <c r="F45" i="87"/>
  <c r="F44" i="87"/>
  <c r="F41" i="87"/>
  <c r="F40" i="87"/>
  <c r="F35" i="87"/>
  <c r="F34" i="87"/>
  <c r="F33" i="87"/>
  <c r="F30" i="87"/>
  <c r="D27" i="87"/>
  <c r="F24" i="87"/>
  <c r="E21" i="87"/>
  <c r="E27" i="87" s="1"/>
  <c r="B21" i="87"/>
  <c r="B27" i="87" s="1"/>
  <c r="F19" i="87"/>
  <c r="F16" i="87"/>
  <c r="F15" i="87"/>
  <c r="F14" i="87"/>
  <c r="F13" i="87"/>
  <c r="F12" i="87"/>
  <c r="F8" i="87"/>
  <c r="F7" i="87"/>
  <c r="F6" i="87"/>
  <c r="F188" i="86"/>
  <c r="F187" i="86"/>
  <c r="B184" i="86"/>
  <c r="B183" i="86"/>
  <c r="B191" i="86" s="1"/>
  <c r="F180" i="86"/>
  <c r="F179" i="86"/>
  <c r="F176" i="86"/>
  <c r="F175" i="86"/>
  <c r="F172" i="86"/>
  <c r="F171" i="86"/>
  <c r="F168" i="86"/>
  <c r="F167" i="86"/>
  <c r="F163" i="86"/>
  <c r="F162" i="86"/>
  <c r="E159" i="86"/>
  <c r="F159" i="86" s="1"/>
  <c r="E158" i="86"/>
  <c r="F155" i="86"/>
  <c r="F154" i="86"/>
  <c r="F151" i="86"/>
  <c r="F150" i="86"/>
  <c r="F147" i="86"/>
  <c r="F146" i="86"/>
  <c r="F139" i="86"/>
  <c r="F138" i="86"/>
  <c r="F134" i="86"/>
  <c r="F131" i="86"/>
  <c r="F130" i="86"/>
  <c r="F125" i="86"/>
  <c r="F122" i="86"/>
  <c r="F121" i="86"/>
  <c r="F120" i="86"/>
  <c r="F118" i="86"/>
  <c r="F117" i="86"/>
  <c r="F116" i="86"/>
  <c r="F113" i="86"/>
  <c r="F112" i="86"/>
  <c r="F111" i="86"/>
  <c r="F109" i="86"/>
  <c r="F108" i="86"/>
  <c r="F107" i="86"/>
  <c r="D103" i="86"/>
  <c r="B103" i="86"/>
  <c r="F103" i="86" s="1"/>
  <c r="D102" i="86"/>
  <c r="B102" i="86"/>
  <c r="F101" i="86"/>
  <c r="F100" i="86"/>
  <c r="F99" i="86"/>
  <c r="F97" i="86"/>
  <c r="F96" i="86"/>
  <c r="F95" i="86"/>
  <c r="F94" i="86"/>
  <c r="F93" i="86"/>
  <c r="F91" i="86"/>
  <c r="F90" i="86"/>
  <c r="F89" i="86"/>
  <c r="F88" i="86"/>
  <c r="F87" i="86"/>
  <c r="F85" i="86"/>
  <c r="F84" i="86"/>
  <c r="F83" i="86"/>
  <c r="F82" i="86"/>
  <c r="F81" i="86"/>
  <c r="F77" i="86"/>
  <c r="F76" i="86"/>
  <c r="F75" i="86"/>
  <c r="F74" i="86"/>
  <c r="F73" i="86"/>
  <c r="F71" i="86"/>
  <c r="F70" i="86"/>
  <c r="F69" i="86"/>
  <c r="F68" i="86"/>
  <c r="F67" i="86"/>
  <c r="F65" i="86"/>
  <c r="F64" i="86"/>
  <c r="F61" i="86"/>
  <c r="F59" i="86"/>
  <c r="F58" i="86"/>
  <c r="F57" i="86"/>
  <c r="F56" i="86"/>
  <c r="F55" i="86"/>
  <c r="F49" i="86"/>
  <c r="F48" i="86"/>
  <c r="F45" i="86"/>
  <c r="F44" i="86"/>
  <c r="F41" i="86"/>
  <c r="F40" i="86"/>
  <c r="F35" i="86"/>
  <c r="F34" i="86"/>
  <c r="F33" i="86"/>
  <c r="F30" i="86"/>
  <c r="D27" i="86"/>
  <c r="F24" i="86"/>
  <c r="E21" i="86"/>
  <c r="E27" i="86" s="1"/>
  <c r="B21" i="86"/>
  <c r="B27" i="86" s="1"/>
  <c r="F19" i="86"/>
  <c r="F16" i="86"/>
  <c r="F15" i="86"/>
  <c r="F14" i="86"/>
  <c r="F13" i="86"/>
  <c r="F12" i="86"/>
  <c r="F8" i="86"/>
  <c r="F7" i="86"/>
  <c r="F6" i="86"/>
  <c r="G188" i="85"/>
  <c r="G187" i="85"/>
  <c r="F184" i="85"/>
  <c r="C184" i="85"/>
  <c r="F183" i="85"/>
  <c r="C183" i="85"/>
  <c r="C191" i="85" s="1"/>
  <c r="G180" i="85"/>
  <c r="G179" i="85"/>
  <c r="G176" i="85"/>
  <c r="G175" i="85"/>
  <c r="G172" i="85"/>
  <c r="G171" i="85"/>
  <c r="G168" i="85"/>
  <c r="G167" i="85"/>
  <c r="G163" i="85"/>
  <c r="G162" i="85"/>
  <c r="F159" i="85"/>
  <c r="G159" i="85" s="1"/>
  <c r="F158" i="85"/>
  <c r="G155" i="85"/>
  <c r="G154" i="85"/>
  <c r="G151" i="85"/>
  <c r="G150" i="85"/>
  <c r="G147" i="85"/>
  <c r="G146" i="85"/>
  <c r="G139" i="85"/>
  <c r="G138" i="85"/>
  <c r="G134" i="85"/>
  <c r="G131" i="85"/>
  <c r="G130" i="85"/>
  <c r="G127" i="85"/>
  <c r="G125" i="85"/>
  <c r="G122" i="85"/>
  <c r="G121" i="85"/>
  <c r="G120" i="85"/>
  <c r="G118" i="85"/>
  <c r="G117" i="85"/>
  <c r="G116" i="85"/>
  <c r="G113" i="85"/>
  <c r="G112" i="85"/>
  <c r="G111" i="85"/>
  <c r="G109" i="85"/>
  <c r="G108" i="85"/>
  <c r="G107" i="85"/>
  <c r="E103" i="85"/>
  <c r="C103" i="85"/>
  <c r="E102" i="85"/>
  <c r="C102" i="85"/>
  <c r="G101" i="85"/>
  <c r="G100" i="85"/>
  <c r="G99" i="85"/>
  <c r="G97" i="85"/>
  <c r="G96" i="85"/>
  <c r="G95" i="85"/>
  <c r="G94" i="85"/>
  <c r="G93" i="85"/>
  <c r="G91" i="85"/>
  <c r="G90" i="85"/>
  <c r="G89" i="85"/>
  <c r="G88" i="85"/>
  <c r="G87" i="85"/>
  <c r="G85" i="85"/>
  <c r="G84" i="85"/>
  <c r="G83" i="85"/>
  <c r="G82" i="85"/>
  <c r="G81" i="85"/>
  <c r="G77" i="85"/>
  <c r="G76" i="85"/>
  <c r="G75" i="85"/>
  <c r="G74" i="85"/>
  <c r="G73" i="85"/>
  <c r="G71" i="85"/>
  <c r="G70" i="85"/>
  <c r="G69" i="85"/>
  <c r="G68" i="85"/>
  <c r="G67" i="85"/>
  <c r="G65" i="85"/>
  <c r="G64" i="85"/>
  <c r="G61" i="85"/>
  <c r="G59" i="85"/>
  <c r="G58" i="85"/>
  <c r="G57" i="85"/>
  <c r="G56" i="85"/>
  <c r="G55" i="85"/>
  <c r="G49" i="85"/>
  <c r="G48" i="85"/>
  <c r="G45" i="85"/>
  <c r="G44" i="85"/>
  <c r="G41" i="85"/>
  <c r="G40" i="85"/>
  <c r="G35" i="85"/>
  <c r="G34" i="85"/>
  <c r="G33" i="85"/>
  <c r="G30" i="85"/>
  <c r="E27" i="85"/>
  <c r="G24" i="85"/>
  <c r="F21" i="85"/>
  <c r="F27" i="85" s="1"/>
  <c r="C21" i="85"/>
  <c r="C27" i="85" s="1"/>
  <c r="G19" i="85"/>
  <c r="G16" i="85"/>
  <c r="G15" i="85"/>
  <c r="G14" i="85"/>
  <c r="G13" i="85"/>
  <c r="G12" i="85"/>
  <c r="G8" i="85"/>
  <c r="G7" i="85"/>
  <c r="G6" i="85"/>
  <c r="G188" i="84"/>
  <c r="G187" i="84"/>
  <c r="F184" i="84"/>
  <c r="C184" i="84"/>
  <c r="F183" i="84"/>
  <c r="C183" i="84"/>
  <c r="C191" i="84" s="1"/>
  <c r="G180" i="84"/>
  <c r="G179" i="84"/>
  <c r="G176" i="84"/>
  <c r="G175" i="84"/>
  <c r="G172" i="84"/>
  <c r="G171" i="84"/>
  <c r="G168" i="84"/>
  <c r="G167" i="84"/>
  <c r="G163" i="84"/>
  <c r="G162" i="84"/>
  <c r="F159" i="84"/>
  <c r="G159" i="84" s="1"/>
  <c r="F158" i="84"/>
  <c r="G155" i="84"/>
  <c r="G154" i="84"/>
  <c r="G151" i="84"/>
  <c r="G150" i="84"/>
  <c r="G147" i="84"/>
  <c r="G146" i="84"/>
  <c r="G139" i="84"/>
  <c r="G138" i="84"/>
  <c r="G134" i="84"/>
  <c r="G131" i="84"/>
  <c r="G130" i="84"/>
  <c r="G125" i="84"/>
  <c r="G122" i="84"/>
  <c r="G121" i="84"/>
  <c r="G120" i="84"/>
  <c r="G118" i="84"/>
  <c r="G117" i="84"/>
  <c r="G116" i="84"/>
  <c r="G113" i="84"/>
  <c r="G112" i="84"/>
  <c r="G111" i="84"/>
  <c r="G109" i="84"/>
  <c r="G108" i="84"/>
  <c r="G107" i="84"/>
  <c r="E103" i="84"/>
  <c r="C103" i="84"/>
  <c r="G103" i="84" s="1"/>
  <c r="E102" i="84"/>
  <c r="C102" i="84"/>
  <c r="G102" i="84" s="1"/>
  <c r="G101" i="84"/>
  <c r="G100" i="84"/>
  <c r="G99" i="84"/>
  <c r="G97" i="84"/>
  <c r="G96" i="84"/>
  <c r="G95" i="84"/>
  <c r="G94" i="84"/>
  <c r="G93" i="84"/>
  <c r="G91" i="84"/>
  <c r="G90" i="84"/>
  <c r="G89" i="84"/>
  <c r="G88" i="84"/>
  <c r="G87" i="84"/>
  <c r="G85" i="84"/>
  <c r="G84" i="84"/>
  <c r="G83" i="84"/>
  <c r="G82" i="84"/>
  <c r="G81" i="84"/>
  <c r="G77" i="84"/>
  <c r="G76" i="84"/>
  <c r="G75" i="84"/>
  <c r="G74" i="84"/>
  <c r="G73" i="84"/>
  <c r="G71" i="84"/>
  <c r="G70" i="84"/>
  <c r="G69" i="84"/>
  <c r="G68" i="84"/>
  <c r="G67" i="84"/>
  <c r="G65" i="84"/>
  <c r="G64" i="84"/>
  <c r="G61" i="84"/>
  <c r="G59" i="84"/>
  <c r="G58" i="84"/>
  <c r="G57" i="84"/>
  <c r="G56" i="84"/>
  <c r="G55" i="84"/>
  <c r="G49" i="84"/>
  <c r="G48" i="84"/>
  <c r="G45" i="84"/>
  <c r="G44" i="84"/>
  <c r="G41" i="84"/>
  <c r="G40" i="84"/>
  <c r="G35" i="84"/>
  <c r="G34" i="84"/>
  <c r="G33" i="84"/>
  <c r="G30" i="84"/>
  <c r="E27" i="84"/>
  <c r="G24" i="84"/>
  <c r="F21" i="84"/>
  <c r="F27" i="84" s="1"/>
  <c r="C21" i="84"/>
  <c r="C27" i="84" s="1"/>
  <c r="G19" i="84"/>
  <c r="G16" i="84"/>
  <c r="G15" i="84"/>
  <c r="G14" i="84"/>
  <c r="G13" i="84"/>
  <c r="G12" i="84"/>
  <c r="G8" i="84"/>
  <c r="G7" i="84"/>
  <c r="G6" i="84"/>
  <c r="F188" i="83"/>
  <c r="F187" i="83"/>
  <c r="E184" i="83"/>
  <c r="B184" i="83"/>
  <c r="B192" i="83" s="1"/>
  <c r="E183" i="83"/>
  <c r="B183" i="83"/>
  <c r="B191" i="83" s="1"/>
  <c r="F180" i="83"/>
  <c r="F179" i="83"/>
  <c r="F176" i="83"/>
  <c r="F175" i="83"/>
  <c r="F172" i="83"/>
  <c r="F171" i="83"/>
  <c r="F168" i="83"/>
  <c r="F167" i="83"/>
  <c r="F163" i="83"/>
  <c r="F162" i="83"/>
  <c r="E159" i="83"/>
  <c r="E158" i="83"/>
  <c r="F158" i="83" s="1"/>
  <c r="F155" i="83"/>
  <c r="F154" i="83"/>
  <c r="F151" i="83"/>
  <c r="F150" i="83"/>
  <c r="F147" i="83"/>
  <c r="F146" i="83"/>
  <c r="F139" i="83"/>
  <c r="F138" i="83"/>
  <c r="F134" i="83"/>
  <c r="F131" i="83"/>
  <c r="F130" i="83"/>
  <c r="F125" i="83"/>
  <c r="F122" i="83"/>
  <c r="F121" i="83"/>
  <c r="F120" i="83"/>
  <c r="F118" i="83"/>
  <c r="F117" i="83"/>
  <c r="F116" i="83"/>
  <c r="F113" i="83"/>
  <c r="F112" i="83"/>
  <c r="F111" i="83"/>
  <c r="F109" i="83"/>
  <c r="F108" i="83"/>
  <c r="F107" i="83"/>
  <c r="D103" i="83"/>
  <c r="B103" i="83"/>
  <c r="F103" i="83" s="1"/>
  <c r="D102" i="83"/>
  <c r="B102" i="83"/>
  <c r="F101" i="83"/>
  <c r="F100" i="83"/>
  <c r="F99" i="83"/>
  <c r="F97" i="83"/>
  <c r="F96" i="83"/>
  <c r="F95" i="83"/>
  <c r="F94" i="83"/>
  <c r="F93" i="83"/>
  <c r="F91" i="83"/>
  <c r="F90" i="83"/>
  <c r="F89" i="83"/>
  <c r="F88" i="83"/>
  <c r="F87" i="83"/>
  <c r="F85" i="83"/>
  <c r="F84" i="83"/>
  <c r="F83" i="83"/>
  <c r="F82" i="83"/>
  <c r="F81" i="83"/>
  <c r="F77" i="83"/>
  <c r="F76" i="83"/>
  <c r="F75" i="83"/>
  <c r="F74" i="83"/>
  <c r="F73" i="83"/>
  <c r="F71" i="83"/>
  <c r="F70" i="83"/>
  <c r="F69" i="83"/>
  <c r="F68" i="83"/>
  <c r="F67" i="83"/>
  <c r="F65" i="83"/>
  <c r="F64" i="83"/>
  <c r="F61" i="83"/>
  <c r="F59" i="83"/>
  <c r="F58" i="83"/>
  <c r="F57" i="83"/>
  <c r="F56" i="83"/>
  <c r="F55" i="83"/>
  <c r="F49" i="83"/>
  <c r="F48" i="83"/>
  <c r="F45" i="83"/>
  <c r="F44" i="83"/>
  <c r="F41" i="83"/>
  <c r="F40" i="83"/>
  <c r="F35" i="83"/>
  <c r="F34" i="83"/>
  <c r="F33" i="83"/>
  <c r="F30" i="83"/>
  <c r="D27" i="83"/>
  <c r="F24" i="83"/>
  <c r="E21" i="83"/>
  <c r="E27" i="83" s="1"/>
  <c r="B21" i="83"/>
  <c r="B27" i="83" s="1"/>
  <c r="F19" i="83"/>
  <c r="F16" i="83"/>
  <c r="F15" i="83"/>
  <c r="F14" i="83"/>
  <c r="F13" i="83"/>
  <c r="F12" i="83"/>
  <c r="F8" i="83"/>
  <c r="F7" i="83"/>
  <c r="F6" i="83"/>
  <c r="G188" i="82"/>
  <c r="G187" i="82"/>
  <c r="F184" i="82"/>
  <c r="F192" i="82" s="1"/>
  <c r="C184" i="82"/>
  <c r="G183" i="82"/>
  <c r="F183" i="82"/>
  <c r="F191" i="82" s="1"/>
  <c r="C183" i="82"/>
  <c r="C191" i="82" s="1"/>
  <c r="G180" i="82"/>
  <c r="G179" i="82"/>
  <c r="G176" i="82"/>
  <c r="G175" i="82"/>
  <c r="G172" i="82"/>
  <c r="G171" i="82"/>
  <c r="G168" i="82"/>
  <c r="G167" i="82"/>
  <c r="G163" i="82"/>
  <c r="G162" i="82"/>
  <c r="G155" i="82"/>
  <c r="G154" i="82"/>
  <c r="G151" i="82"/>
  <c r="G150" i="82"/>
  <c r="G147" i="82"/>
  <c r="G146" i="82"/>
  <c r="G139" i="82"/>
  <c r="G138" i="82"/>
  <c r="G134" i="82"/>
  <c r="G131" i="82"/>
  <c r="G130" i="82"/>
  <c r="G127" i="82"/>
  <c r="G125" i="82"/>
  <c r="G122" i="82"/>
  <c r="G121" i="82"/>
  <c r="G120" i="82"/>
  <c r="G118" i="82"/>
  <c r="G117" i="82"/>
  <c r="G116" i="82"/>
  <c r="G113" i="82"/>
  <c r="G112" i="82"/>
  <c r="G111" i="82"/>
  <c r="G109" i="82"/>
  <c r="G108" i="82"/>
  <c r="G107" i="82"/>
  <c r="E103" i="82"/>
  <c r="C103" i="82"/>
  <c r="E102" i="82"/>
  <c r="C102" i="82"/>
  <c r="G102" i="82" s="1"/>
  <c r="G101" i="82"/>
  <c r="G100" i="82"/>
  <c r="G99" i="82"/>
  <c r="G97" i="82"/>
  <c r="G96" i="82"/>
  <c r="G95" i="82"/>
  <c r="G94" i="82"/>
  <c r="G93" i="82"/>
  <c r="G91" i="82"/>
  <c r="G90" i="82"/>
  <c r="G89" i="82"/>
  <c r="G88" i="82"/>
  <c r="G87" i="82"/>
  <c r="G85" i="82"/>
  <c r="G84" i="82"/>
  <c r="G83" i="82"/>
  <c r="G82" i="82"/>
  <c r="G81" i="82"/>
  <c r="G77" i="82"/>
  <c r="G76" i="82"/>
  <c r="G75" i="82"/>
  <c r="G74" i="82"/>
  <c r="G73" i="82"/>
  <c r="G71" i="82"/>
  <c r="G70" i="82"/>
  <c r="G69" i="82"/>
  <c r="G68" i="82"/>
  <c r="G67" i="82"/>
  <c r="G65" i="82"/>
  <c r="G64" i="82"/>
  <c r="G61" i="82"/>
  <c r="G59" i="82"/>
  <c r="G58" i="82"/>
  <c r="G57" i="82"/>
  <c r="G56" i="82"/>
  <c r="G55" i="82"/>
  <c r="G49" i="82"/>
  <c r="G48" i="82"/>
  <c r="G45" i="82"/>
  <c r="G44" i="82"/>
  <c r="G41" i="82"/>
  <c r="G40" i="82"/>
  <c r="G35" i="82"/>
  <c r="G34" i="82"/>
  <c r="G33" i="82"/>
  <c r="G30" i="82"/>
  <c r="E27" i="82"/>
  <c r="G24" i="82"/>
  <c r="F21" i="82"/>
  <c r="F27" i="82" s="1"/>
  <c r="C21" i="82"/>
  <c r="C27" i="82" s="1"/>
  <c r="G19" i="82"/>
  <c r="G16" i="82"/>
  <c r="G15" i="82"/>
  <c r="G14" i="82"/>
  <c r="G13" i="82"/>
  <c r="G12" i="82"/>
  <c r="G8" i="82"/>
  <c r="G7" i="82"/>
  <c r="G6" i="82"/>
  <c r="G188" i="81"/>
  <c r="G187" i="81"/>
  <c r="F184" i="81"/>
  <c r="C184" i="81"/>
  <c r="G184" i="81" s="1"/>
  <c r="F183" i="81"/>
  <c r="C183" i="81"/>
  <c r="C191" i="81" s="1"/>
  <c r="G180" i="81"/>
  <c r="G179" i="81"/>
  <c r="G176" i="81"/>
  <c r="G175" i="81"/>
  <c r="G172" i="81"/>
  <c r="G171" i="81"/>
  <c r="G168" i="81"/>
  <c r="G167" i="81"/>
  <c r="G163" i="81"/>
  <c r="G162" i="81"/>
  <c r="F159" i="81"/>
  <c r="G159" i="81" s="1"/>
  <c r="G155" i="81"/>
  <c r="G154" i="81"/>
  <c r="G151" i="81"/>
  <c r="G150" i="81"/>
  <c r="G147" i="81"/>
  <c r="G146" i="81"/>
  <c r="G139" i="81"/>
  <c r="G138" i="81"/>
  <c r="G134" i="81"/>
  <c r="G131" i="81"/>
  <c r="G130" i="81"/>
  <c r="G127" i="81"/>
  <c r="G125" i="81"/>
  <c r="G122" i="81"/>
  <c r="G121" i="81"/>
  <c r="G120" i="81"/>
  <c r="G118" i="81"/>
  <c r="G117" i="81"/>
  <c r="G116" i="81"/>
  <c r="G113" i="81"/>
  <c r="G112" i="81"/>
  <c r="G111" i="81"/>
  <c r="G109" i="81"/>
  <c r="G108" i="81"/>
  <c r="G107" i="81"/>
  <c r="E103" i="81"/>
  <c r="C103" i="81"/>
  <c r="E102" i="81"/>
  <c r="C102" i="81"/>
  <c r="G102" i="81" s="1"/>
  <c r="G101" i="81"/>
  <c r="G100" i="81"/>
  <c r="G99" i="81"/>
  <c r="G97" i="81"/>
  <c r="G96" i="81"/>
  <c r="G95" i="81"/>
  <c r="G94" i="81"/>
  <c r="G93" i="81"/>
  <c r="G91" i="81"/>
  <c r="G90" i="81"/>
  <c r="G89" i="81"/>
  <c r="G88" i="81"/>
  <c r="G87" i="81"/>
  <c r="G85" i="81"/>
  <c r="G84" i="81"/>
  <c r="G83" i="81"/>
  <c r="G82" i="81"/>
  <c r="G81" i="81"/>
  <c r="G77" i="81"/>
  <c r="G76" i="81"/>
  <c r="G75" i="81"/>
  <c r="G74" i="81"/>
  <c r="G73" i="81"/>
  <c r="G71" i="81"/>
  <c r="G70" i="81"/>
  <c r="G69" i="81"/>
  <c r="G68" i="81"/>
  <c r="G67" i="81"/>
  <c r="G65" i="81"/>
  <c r="G64" i="81"/>
  <c r="G61" i="81"/>
  <c r="G59" i="81"/>
  <c r="G58" i="81"/>
  <c r="G57" i="81"/>
  <c r="G56" i="81"/>
  <c r="G55" i="81"/>
  <c r="G49" i="81"/>
  <c r="G48" i="81"/>
  <c r="G45" i="81"/>
  <c r="G44" i="81"/>
  <c r="G41" i="81"/>
  <c r="G40" i="81"/>
  <c r="G35" i="81"/>
  <c r="G34" i="81"/>
  <c r="G33" i="81"/>
  <c r="G30" i="81"/>
  <c r="E27" i="81"/>
  <c r="G24" i="81"/>
  <c r="F21" i="81"/>
  <c r="F27" i="81" s="1"/>
  <c r="C21" i="81"/>
  <c r="C27" i="81" s="1"/>
  <c r="G19" i="81"/>
  <c r="G16" i="81"/>
  <c r="G15" i="81"/>
  <c r="G14" i="81"/>
  <c r="G13" i="81"/>
  <c r="G12" i="81"/>
  <c r="G8" i="81"/>
  <c r="G7" i="81"/>
  <c r="G6" i="81"/>
  <c r="G188" i="80"/>
  <c r="G187" i="80"/>
  <c r="F184" i="80"/>
  <c r="C184" i="80"/>
  <c r="G183" i="80"/>
  <c r="F183" i="80"/>
  <c r="C183" i="80"/>
  <c r="C191" i="80" s="1"/>
  <c r="G180" i="80"/>
  <c r="G179" i="80"/>
  <c r="G176" i="80"/>
  <c r="G175" i="80"/>
  <c r="G172" i="80"/>
  <c r="G171" i="80"/>
  <c r="G168" i="80"/>
  <c r="G167" i="80"/>
  <c r="G163" i="80"/>
  <c r="G162" i="80"/>
  <c r="F159" i="80"/>
  <c r="G159" i="80" s="1"/>
  <c r="F158" i="80"/>
  <c r="F191" i="80" s="1"/>
  <c r="G155" i="80"/>
  <c r="G154" i="80"/>
  <c r="G151" i="80"/>
  <c r="G150" i="80"/>
  <c r="G147" i="80"/>
  <c r="G146" i="80"/>
  <c r="G139" i="80"/>
  <c r="G138" i="80"/>
  <c r="G134" i="80"/>
  <c r="G131" i="80"/>
  <c r="G130" i="80"/>
  <c r="G127" i="80"/>
  <c r="G125" i="80"/>
  <c r="G122" i="80"/>
  <c r="G121" i="80"/>
  <c r="G120" i="80"/>
  <c r="G118" i="80"/>
  <c r="G117" i="80"/>
  <c r="G116" i="80"/>
  <c r="G113" i="80"/>
  <c r="G112" i="80"/>
  <c r="G111" i="80"/>
  <c r="G109" i="80"/>
  <c r="G108" i="80"/>
  <c r="G107" i="80"/>
  <c r="E103" i="80"/>
  <c r="C103" i="80"/>
  <c r="E102" i="80"/>
  <c r="C102" i="80"/>
  <c r="G102" i="80" s="1"/>
  <c r="G101" i="80"/>
  <c r="G100" i="80"/>
  <c r="G99" i="80"/>
  <c r="G97" i="80"/>
  <c r="G96" i="80"/>
  <c r="G95" i="80"/>
  <c r="G94" i="80"/>
  <c r="G93" i="80"/>
  <c r="G91" i="80"/>
  <c r="G90" i="80"/>
  <c r="G89" i="80"/>
  <c r="G88" i="80"/>
  <c r="G87" i="80"/>
  <c r="G85" i="80"/>
  <c r="G84" i="80"/>
  <c r="G83" i="80"/>
  <c r="G82" i="80"/>
  <c r="G81" i="80"/>
  <c r="G77" i="80"/>
  <c r="G76" i="80"/>
  <c r="G75" i="80"/>
  <c r="G74" i="80"/>
  <c r="G73" i="80"/>
  <c r="G71" i="80"/>
  <c r="G70" i="80"/>
  <c r="G69" i="80"/>
  <c r="G68" i="80"/>
  <c r="G67" i="80"/>
  <c r="G65" i="80"/>
  <c r="G64" i="80"/>
  <c r="G61" i="80"/>
  <c r="G59" i="80"/>
  <c r="G58" i="80"/>
  <c r="G57" i="80"/>
  <c r="G56" i="80"/>
  <c r="G55" i="80"/>
  <c r="G49" i="80"/>
  <c r="G48" i="80"/>
  <c r="G45" i="80"/>
  <c r="G44" i="80"/>
  <c r="G41" i="80"/>
  <c r="G40" i="80"/>
  <c r="G35" i="80"/>
  <c r="G34" i="80"/>
  <c r="G33" i="80"/>
  <c r="G30" i="80"/>
  <c r="E27" i="80"/>
  <c r="G24" i="80"/>
  <c r="F21" i="80"/>
  <c r="F27" i="80" s="1"/>
  <c r="C21" i="80"/>
  <c r="C27" i="80" s="1"/>
  <c r="G19" i="80"/>
  <c r="G16" i="80"/>
  <c r="G15" i="80"/>
  <c r="G14" i="80"/>
  <c r="G13" i="80"/>
  <c r="G12" i="80"/>
  <c r="G8" i="80"/>
  <c r="G7" i="80"/>
  <c r="G6" i="80"/>
  <c r="F159" i="90" l="1"/>
  <c r="F184" i="90"/>
  <c r="E191" i="90"/>
  <c r="F191" i="90" s="1"/>
  <c r="F103" i="90"/>
  <c r="F27" i="90"/>
  <c r="F102" i="90"/>
  <c r="C191" i="89"/>
  <c r="G183" i="89"/>
  <c r="F183" i="88"/>
  <c r="E191" i="88"/>
  <c r="F191" i="88" s="1"/>
  <c r="F184" i="88"/>
  <c r="F103" i="88"/>
  <c r="F184" i="87"/>
  <c r="F183" i="87"/>
  <c r="F27" i="87"/>
  <c r="F103" i="87"/>
  <c r="F102" i="87"/>
  <c r="E191" i="87"/>
  <c r="F191" i="87" s="1"/>
  <c r="E191" i="86"/>
  <c r="F191" i="86" s="1"/>
  <c r="F102" i="86"/>
  <c r="F27" i="86"/>
  <c r="F183" i="86"/>
  <c r="F184" i="86"/>
  <c r="G184" i="85"/>
  <c r="G102" i="85"/>
  <c r="F191" i="85"/>
  <c r="G191" i="85" s="1"/>
  <c r="G103" i="85"/>
  <c r="G27" i="85"/>
  <c r="G183" i="85"/>
  <c r="G184" i="84"/>
  <c r="F191" i="84"/>
  <c r="G191" i="84" s="1"/>
  <c r="G27" i="84"/>
  <c r="G183" i="84"/>
  <c r="E192" i="83"/>
  <c r="F159" i="83"/>
  <c r="F183" i="83"/>
  <c r="F102" i="83"/>
  <c r="F27" i="83"/>
  <c r="F184" i="83"/>
  <c r="G184" i="82"/>
  <c r="G159" i="82"/>
  <c r="G103" i="82"/>
  <c r="G27" i="82"/>
  <c r="F191" i="81"/>
  <c r="G191" i="81" s="1"/>
  <c r="G103" i="81"/>
  <c r="G27" i="81"/>
  <c r="G183" i="81"/>
  <c r="G184" i="80"/>
  <c r="G103" i="80"/>
  <c r="G27" i="80"/>
  <c r="F21" i="90"/>
  <c r="F158" i="90"/>
  <c r="B192" i="90"/>
  <c r="E192" i="90"/>
  <c r="G191" i="89"/>
  <c r="G21" i="89"/>
  <c r="G158" i="89"/>
  <c r="C192" i="89"/>
  <c r="F192" i="89"/>
  <c r="F27" i="88"/>
  <c r="F21" i="88"/>
  <c r="F158" i="88"/>
  <c r="B192" i="88"/>
  <c r="E192" i="88"/>
  <c r="F21" i="87"/>
  <c r="F158" i="87"/>
  <c r="B192" i="87"/>
  <c r="E192" i="87"/>
  <c r="F21" i="86"/>
  <c r="F158" i="86"/>
  <c r="B192" i="86"/>
  <c r="E192" i="86"/>
  <c r="G21" i="85"/>
  <c r="G158" i="85"/>
  <c r="C192" i="85"/>
  <c r="F192" i="85"/>
  <c r="G21" i="84"/>
  <c r="G158" i="84"/>
  <c r="C192" i="84"/>
  <c r="F192" i="84"/>
  <c r="F192" i="83"/>
  <c r="F21" i="83"/>
  <c r="E191" i="83"/>
  <c r="F191" i="83" s="1"/>
  <c r="G191" i="82"/>
  <c r="G21" i="82"/>
  <c r="G158" i="82"/>
  <c r="C192" i="82"/>
  <c r="G192" i="82" s="1"/>
  <c r="G21" i="81"/>
  <c r="C192" i="81"/>
  <c r="F192" i="81"/>
  <c r="G158" i="81"/>
  <c r="G191" i="80"/>
  <c r="G21" i="80"/>
  <c r="G158" i="80"/>
  <c r="C192" i="80"/>
  <c r="F192" i="80"/>
  <c r="G127" i="68"/>
  <c r="F183" i="90" l="1"/>
  <c r="F192" i="90"/>
  <c r="F192" i="88"/>
  <c r="F192" i="87"/>
  <c r="F192" i="86"/>
  <c r="G192" i="84"/>
  <c r="G192" i="80"/>
  <c r="G192" i="89"/>
  <c r="G192" i="85"/>
  <c r="G192" i="81"/>
  <c r="G24" i="68"/>
  <c r="C21" i="68" l="1"/>
  <c r="C27" i="68" s="1"/>
  <c r="F184" i="68"/>
  <c r="F183" i="68"/>
  <c r="F159" i="68" l="1"/>
  <c r="F158" i="68"/>
  <c r="F21" i="68"/>
  <c r="C184" i="68"/>
  <c r="C192" i="68" s="1"/>
  <c r="C183" i="68"/>
  <c r="C191" i="68" s="1"/>
  <c r="C103" i="68"/>
  <c r="C102" i="68"/>
  <c r="F27" i="68" l="1"/>
  <c r="E27" i="68" l="1"/>
  <c r="F191" i="68" l="1"/>
  <c r="F192" i="68"/>
  <c r="E103" i="68" l="1"/>
  <c r="E102" i="68"/>
  <c r="G188" i="68" l="1"/>
  <c r="G187" i="68"/>
  <c r="G192" i="68"/>
  <c r="G184" i="68"/>
  <c r="G191" i="68"/>
  <c r="G183" i="68"/>
  <c r="G180" i="68"/>
  <c r="G179" i="68"/>
  <c r="G176" i="68"/>
  <c r="G175" i="68"/>
  <c r="G172" i="68"/>
  <c r="G171" i="68"/>
  <c r="G168" i="68"/>
  <c r="G167" i="68"/>
  <c r="G163" i="68"/>
  <c r="G162" i="68"/>
  <c r="G159" i="68"/>
  <c r="G158" i="68"/>
  <c r="G155" i="68"/>
  <c r="G154" i="68"/>
  <c r="G151" i="68"/>
  <c r="G150" i="68"/>
  <c r="G147" i="68"/>
  <c r="G146" i="68"/>
  <c r="G139" i="68"/>
  <c r="G138" i="68"/>
  <c r="G134" i="68"/>
  <c r="G131" i="68"/>
  <c r="G130" i="68"/>
  <c r="G125" i="68"/>
  <c r="G122" i="68"/>
  <c r="G121" i="68"/>
  <c r="G120" i="68"/>
  <c r="G118" i="68"/>
  <c r="G117" i="68"/>
  <c r="G116" i="68"/>
  <c r="G113" i="68"/>
  <c r="G112" i="68"/>
  <c r="G111" i="68"/>
  <c r="G109" i="68"/>
  <c r="G108" i="68"/>
  <c r="G107" i="68"/>
  <c r="G103" i="68"/>
  <c r="G102" i="68"/>
  <c r="G101" i="68"/>
  <c r="G100" i="68"/>
  <c r="G99" i="68"/>
  <c r="G97" i="68"/>
  <c r="G96" i="68"/>
  <c r="G95" i="68"/>
  <c r="G94" i="68"/>
  <c r="G93" i="68"/>
  <c r="G91" i="68"/>
  <c r="G90" i="68"/>
  <c r="G89" i="68"/>
  <c r="G88" i="68"/>
  <c r="G87" i="68"/>
  <c r="G85" i="68"/>
  <c r="G84" i="68"/>
  <c r="G83" i="68"/>
  <c r="G82" i="68"/>
  <c r="G81" i="68"/>
  <c r="G77" i="68"/>
  <c r="G76" i="68"/>
  <c r="G75" i="68"/>
  <c r="G74" i="68"/>
  <c r="G73" i="68"/>
  <c r="G71" i="68"/>
  <c r="G70" i="68"/>
  <c r="G69" i="68"/>
  <c r="G68" i="68"/>
  <c r="G67" i="68"/>
  <c r="G65" i="68"/>
  <c r="G64" i="68"/>
  <c r="G61" i="68"/>
  <c r="G59" i="68"/>
  <c r="G58" i="68"/>
  <c r="G57" i="68"/>
  <c r="G56" i="68"/>
  <c r="G55" i="68"/>
  <c r="G49" i="68"/>
  <c r="G48" i="68"/>
  <c r="G45" i="68"/>
  <c r="G44" i="68"/>
  <c r="G41" i="68"/>
  <c r="G40" i="68"/>
  <c r="G35" i="68"/>
  <c r="G34" i="68"/>
  <c r="G33" i="68"/>
  <c r="G30" i="68"/>
  <c r="G27" i="68"/>
  <c r="G21" i="68"/>
  <c r="G19" i="68"/>
  <c r="G16" i="68"/>
  <c r="G15" i="68"/>
  <c r="G14" i="68"/>
  <c r="G13" i="68"/>
  <c r="G12" i="68"/>
  <c r="G8" i="68"/>
  <c r="G7" i="68"/>
  <c r="G6" i="68"/>
</calcChain>
</file>

<file path=xl/sharedStrings.xml><?xml version="1.0" encoding="utf-8"?>
<sst xmlns="http://schemas.openxmlformats.org/spreadsheetml/2006/main" count="1951" uniqueCount="110">
  <si>
    <t xml:space="preserve"> </t>
  </si>
  <si>
    <t>CCAF</t>
  </si>
  <si>
    <t>Los Andes</t>
  </si>
  <si>
    <t>La Araucana</t>
  </si>
  <si>
    <t>Caja 18</t>
  </si>
  <si>
    <t>Los Héroes</t>
  </si>
  <si>
    <t>Total</t>
  </si>
  <si>
    <t>I. Información Poblacional</t>
  </si>
  <si>
    <t>Entidades Empleadoras Afiliadas</t>
  </si>
  <si>
    <t>N° Entidades Empleadoras Privadas</t>
  </si>
  <si>
    <t>N° Entidades Empleadoras Públicas</t>
  </si>
  <si>
    <t>Total Entidades Empleadoras Afiliadas</t>
  </si>
  <si>
    <t>Trabajadores Afiliados</t>
  </si>
  <si>
    <t xml:space="preserve">Trabajadores Dependientes </t>
  </si>
  <si>
    <t>N° Trabajadores Dependientes Privados Isapre</t>
  </si>
  <si>
    <t>N° Trabajadores Dependientes Privados Fonasa</t>
  </si>
  <si>
    <t>N° Trabajadores Dependientes Privados</t>
  </si>
  <si>
    <t>N° Trabajadores Dependientes Públicos</t>
  </si>
  <si>
    <t>N° Trabajadores Dependientes Total</t>
  </si>
  <si>
    <t xml:space="preserve">Trabajadores Independientes </t>
  </si>
  <si>
    <t xml:space="preserve">N° Trabajadores Independientes </t>
  </si>
  <si>
    <t>N° Trabajadores Afiliados Total</t>
  </si>
  <si>
    <t>Pensionados Afiliados</t>
  </si>
  <si>
    <t>N° Pensionados Afiliados</t>
  </si>
  <si>
    <t>Total Afiliados</t>
  </si>
  <si>
    <t>N° Total de Afiliados</t>
  </si>
  <si>
    <t>Cargas Familiares Vigentes</t>
  </si>
  <si>
    <t>N° Cargas Familiares Vigentes</t>
  </si>
  <si>
    <t>Remuneraciones de Afiliados</t>
  </si>
  <si>
    <t>Remuneración Total (imponible) trabajadores afiliados ($)</t>
  </si>
  <si>
    <t>Remuneración Total  (imponible) pensionados ($)</t>
  </si>
  <si>
    <t>Total Remuneraciones afiliados ($)</t>
  </si>
  <si>
    <t>(*) Se Considera Remuneración Hasta el Maximo Imponible</t>
  </si>
  <si>
    <t>II. Información Prestaciones Legales</t>
  </si>
  <si>
    <t>Asignaciones Familiares</t>
  </si>
  <si>
    <t>N° Asignaciones Familiares Pagadas</t>
  </si>
  <si>
    <t>Monto (MM$) Asignaciones Familiares Pagadas</t>
  </si>
  <si>
    <t>Subsidio de Cesantía</t>
  </si>
  <si>
    <t>N° Subsidio de Cesantía Pagadas</t>
  </si>
  <si>
    <t>Monto Subsidio de Cesantía Pagadas (MM$)</t>
  </si>
  <si>
    <t>Subsidio de Incapacidad Laboral</t>
  </si>
  <si>
    <t>N° Subsidio de Incapacidad Laboral</t>
  </si>
  <si>
    <t>Monto de Subsidio de Incapacidad Laboral (MM$)</t>
  </si>
  <si>
    <t>III. Información Productos y Servicios</t>
  </si>
  <si>
    <t>Crédito Social (No Incluye Crédito Hipotecario)</t>
  </si>
  <si>
    <t>Trabajadores Dependientes</t>
  </si>
  <si>
    <t xml:space="preserve">N° Colocaciones del mes </t>
  </si>
  <si>
    <t>Monto de Colocaciones del mes (MM$)</t>
  </si>
  <si>
    <t xml:space="preserve">N° Cuotas promedio de colocaciones del mes </t>
  </si>
  <si>
    <t>N° Créditos Cartera Vigente</t>
  </si>
  <si>
    <t>Monto de Créditos Cartera Vigente (MM$)</t>
  </si>
  <si>
    <t>Trabajadores Independientes</t>
  </si>
  <si>
    <t>Pensionados</t>
  </si>
  <si>
    <t>Total Crédito Social</t>
  </si>
  <si>
    <t>N° Colocaciones del mes</t>
  </si>
  <si>
    <t>Crédito Hipotecario</t>
  </si>
  <si>
    <t>Total Crédito Hipotecario</t>
  </si>
  <si>
    <t>Tasa de Interés Colocación Crédito Social</t>
  </si>
  <si>
    <t>Trabajadores (Para monto menor o igual a 200 UF)</t>
  </si>
  <si>
    <t>Plazo 24 meses (%)</t>
  </si>
  <si>
    <t>Plazo 36 meses (%)</t>
  </si>
  <si>
    <t>Plazo 60 meses (%)</t>
  </si>
  <si>
    <t>Trabajadores (Para monto mayor a 200 UF y menor a 5000 UF)</t>
  </si>
  <si>
    <t>Pensionados (Para monto menor o igual a 200 UF)</t>
  </si>
  <si>
    <t>Pensionados (Para monto mayor a 200 UF y menor a 5000 UF)</t>
  </si>
  <si>
    <t>Tasa de Interés Promedio Colocación Crédito Hipotecario al último día del mes (%)</t>
  </si>
  <si>
    <t>anualizada (%)</t>
  </si>
  <si>
    <t>Tasa de Interés Promedio Cartera Vigente (%) (No incluye crédito hipotecario)</t>
  </si>
  <si>
    <t>mensual (%)</t>
  </si>
  <si>
    <t>Ahorro</t>
  </si>
  <si>
    <t>N° Cuentas de Ahorro Vigentes</t>
  </si>
  <si>
    <t>Saldo Acumulado de Cuentas de Ahorro Vigentes (MM$)</t>
  </si>
  <si>
    <t>Seguros</t>
  </si>
  <si>
    <t>N° de Seguros Vigentes</t>
  </si>
  <si>
    <t>IV. Información Servicios a Terceros</t>
  </si>
  <si>
    <t>Recaudación de Cotizaciones</t>
  </si>
  <si>
    <t>N° de planillas recaudadas electrónicamente</t>
  </si>
  <si>
    <t>N° de planillas recaudadas manualmente</t>
  </si>
  <si>
    <t>V. Información Beneficios No Retornables</t>
  </si>
  <si>
    <t>Educación</t>
  </si>
  <si>
    <t>Asignaciones Matrícula</t>
  </si>
  <si>
    <t>N° Asignaciones Pagadas</t>
  </si>
  <si>
    <t>Monto Asignaciones Pagadas (MM$)</t>
  </si>
  <si>
    <t>Becas de Estudios</t>
  </si>
  <si>
    <t>N° Becas Pagadas</t>
  </si>
  <si>
    <t>Monto Becas Pagadas (MM$)</t>
  </si>
  <si>
    <t>Otros Beneficios Educacionales</t>
  </si>
  <si>
    <t>N° Beneficios Pagados</t>
  </si>
  <si>
    <t>Monto Beneficios Pagados (MM$)</t>
  </si>
  <si>
    <t>Total Beneficios Educacionales</t>
  </si>
  <si>
    <t>N° Beneficios Pagados Total</t>
  </si>
  <si>
    <t>Monto de Beneficios Pagados Total (MM$)</t>
  </si>
  <si>
    <t>Salud</t>
  </si>
  <si>
    <t>Contingencias</t>
  </si>
  <si>
    <t>Nupcialidad</t>
  </si>
  <si>
    <t>N° de asignaciones Pagadas</t>
  </si>
  <si>
    <t>Monto de asignaciones pagadas (MM$)</t>
  </si>
  <si>
    <t>Natalidad</t>
  </si>
  <si>
    <t>N° de asignaciones pagadas</t>
  </si>
  <si>
    <t>Fallecimiento</t>
  </si>
  <si>
    <t>Otras asignaciones de contingencias</t>
  </si>
  <si>
    <t xml:space="preserve">Total asignaciones de contingencias </t>
  </si>
  <si>
    <t>N° asignaciones de contingencias pagadas</t>
  </si>
  <si>
    <t>Monto de asignaciones de contingencias pagadas (MM$)</t>
  </si>
  <si>
    <t>Otros beneficios no retornables</t>
  </si>
  <si>
    <t>N° de otros beneficios pagados</t>
  </si>
  <si>
    <t>Monto de otros beneficios pagados (MM$)</t>
  </si>
  <si>
    <t>Total Beneficios No Retornables</t>
  </si>
  <si>
    <t>N° total de beneficios pagados</t>
  </si>
  <si>
    <t>Monto total de beneficios pagados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</si>
</sst>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_-* #,##0_-;\-* #,##0_-;_-* &quot;-&quot;??_-;_-@_-"/>
    <numFmt numFmtId="168" formatCode="#,##0.0"/>
    <numFmt numFmtId="169" formatCode="\$#,##0"/>
    <numFmt numFmtId="170" formatCode="_ * #,##0.0_ ;_ * \-#,##0.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</cellStyleXfs>
  <cellXfs count="99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3" borderId="2" xfId="0" applyFont="1" applyFill="1" applyBorder="1" applyAlignment="1">
      <alignment horizontal="center"/>
    </xf>
    <xf numFmtId="16" fontId="6" fillId="3" borderId="2" xfId="0" applyNumberFormat="1" applyFont="1" applyFill="1" applyBorder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0" fontId="5" fillId="4" borderId="4" xfId="0" applyFont="1" applyFill="1" applyBorder="1"/>
    <xf numFmtId="0" fontId="5" fillId="4" borderId="5" xfId="0" applyFont="1" applyFill="1" applyBorder="1"/>
    <xf numFmtId="4" fontId="0" fillId="0" borderId="2" xfId="0" applyNumberFormat="1" applyBorder="1"/>
    <xf numFmtId="3" fontId="0" fillId="2" borderId="2" xfId="0" applyNumberFormat="1" applyFill="1" applyBorder="1"/>
    <xf numFmtId="2" fontId="0" fillId="0" borderId="2" xfId="0" applyNumberFormat="1" applyBorder="1"/>
    <xf numFmtId="0" fontId="0" fillId="0" borderId="2" xfId="0" applyBorder="1"/>
    <xf numFmtId="3" fontId="6" fillId="3" borderId="2" xfId="0" applyNumberFormat="1" applyFont="1" applyFill="1" applyBorder="1" applyAlignment="1">
      <alignment horizontal="center"/>
    </xf>
    <xf numFmtId="0" fontId="0" fillId="2" borderId="2" xfId="0" applyFill="1" applyBorder="1"/>
    <xf numFmtId="3" fontId="0" fillId="2" borderId="3" xfId="0" applyNumberForma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horizontal="right"/>
    </xf>
    <xf numFmtId="4" fontId="0" fillId="5" borderId="2" xfId="0" applyNumberFormat="1" applyFill="1" applyBorder="1"/>
    <xf numFmtId="0" fontId="5" fillId="4" borderId="6" xfId="0" applyFont="1" applyFill="1" applyBorder="1"/>
    <xf numFmtId="3" fontId="0" fillId="0" borderId="2" xfId="0" applyNumberFormat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3" fillId="5" borderId="2" xfId="1" applyNumberFormat="1" applyFont="1" applyFill="1" applyBorder="1" applyAlignment="1">
      <alignment horizontal="right"/>
    </xf>
    <xf numFmtId="3" fontId="0" fillId="0" borderId="2" xfId="0" applyNumberFormat="1" applyBorder="1"/>
    <xf numFmtId="3" fontId="7" fillId="0" borderId="2" xfId="0" applyNumberFormat="1" applyFont="1" applyBorder="1"/>
    <xf numFmtId="1" fontId="3" fillId="0" borderId="2" xfId="1" applyNumberFormat="1" applyBorder="1" applyAlignment="1">
      <alignment horizontal="right"/>
    </xf>
    <xf numFmtId="2" fontId="7" fillId="0" borderId="2" xfId="0" applyNumberFormat="1" applyFont="1" applyBorder="1"/>
    <xf numFmtId="4" fontId="7" fillId="0" borderId="2" xfId="0" applyNumberFormat="1" applyFont="1" applyBorder="1"/>
    <xf numFmtId="1" fontId="7" fillId="2" borderId="2" xfId="1" applyNumberFormat="1" applyFont="1" applyFill="1" applyBorder="1"/>
    <xf numFmtId="2" fontId="7" fillId="0" borderId="2" xfId="0" applyNumberFormat="1" applyFont="1" applyBorder="1" applyAlignment="1">
      <alignment horizontal="right"/>
    </xf>
    <xf numFmtId="0" fontId="3" fillId="0" borderId="2" xfId="1" applyNumberFormat="1" applyBorder="1" applyAlignment="1">
      <alignment horizontal="right"/>
    </xf>
    <xf numFmtId="3" fontId="0" fillId="9" borderId="2" xfId="0" applyNumberFormat="1" applyFill="1" applyBorder="1"/>
    <xf numFmtId="3" fontId="0" fillId="10" borderId="2" xfId="0" applyNumberFormat="1" applyFill="1" applyBorder="1"/>
    <xf numFmtId="2" fontId="3" fillId="0" borderId="2" xfId="2" applyNumberFormat="1" applyFont="1" applyBorder="1"/>
    <xf numFmtId="2" fontId="0" fillId="0" borderId="3" xfId="0" applyNumberFormat="1" applyBorder="1"/>
    <xf numFmtId="0" fontId="0" fillId="0" borderId="0" xfId="0" applyAlignment="1">
      <alignment horizontal="left"/>
    </xf>
    <xf numFmtId="0" fontId="0" fillId="5" borderId="10" xfId="0" applyFill="1" applyBorder="1"/>
    <xf numFmtId="3" fontId="0" fillId="5" borderId="10" xfId="0" applyNumberFormat="1" applyFill="1" applyBorder="1"/>
    <xf numFmtId="0" fontId="3" fillId="0" borderId="2" xfId="2" applyNumberFormat="1" applyFont="1" applyFill="1" applyBorder="1"/>
    <xf numFmtId="4" fontId="0" fillId="0" borderId="0" xfId="0" applyNumberFormat="1"/>
    <xf numFmtId="3" fontId="0" fillId="5" borderId="2" xfId="0" applyNumberFormat="1" applyFill="1" applyBorder="1" applyAlignment="1">
      <alignment horizontal="right"/>
    </xf>
    <xf numFmtId="166" fontId="0" fillId="5" borderId="2" xfId="0" applyNumberFormat="1" applyFill="1" applyBorder="1"/>
    <xf numFmtId="3" fontId="3" fillId="5" borderId="2" xfId="1" applyNumberFormat="1" applyFill="1" applyBorder="1" applyAlignment="1">
      <alignment horizontal="right"/>
    </xf>
    <xf numFmtId="167" fontId="3" fillId="2" borderId="2" xfId="1" applyNumberFormat="1" applyFont="1" applyFill="1" applyBorder="1"/>
    <xf numFmtId="167" fontId="0" fillId="5" borderId="2" xfId="0" applyNumberFormat="1" applyFill="1" applyBorder="1"/>
    <xf numFmtId="3" fontId="7" fillId="0" borderId="3" xfId="0" applyNumberFormat="1" applyFont="1" applyBorder="1"/>
    <xf numFmtId="167" fontId="3" fillId="2" borderId="2" xfId="1" applyNumberFormat="1" applyFont="1" applyFill="1" applyBorder="1" applyAlignment="1">
      <alignment horizontal="right"/>
    </xf>
    <xf numFmtId="0" fontId="0" fillId="0" borderId="5" xfId="0" applyBorder="1"/>
    <xf numFmtId="167" fontId="7" fillId="2" borderId="2" xfId="1" applyNumberFormat="1" applyFont="1" applyFill="1" applyBorder="1"/>
    <xf numFmtId="2" fontId="7" fillId="2" borderId="2" xfId="1" applyNumberFormat="1" applyFont="1" applyFill="1" applyBorder="1"/>
    <xf numFmtId="4" fontId="0" fillId="0" borderId="2" xfId="0" applyNumberFormat="1" applyBorder="1" applyAlignment="1">
      <alignment horizontal="left" indent="10"/>
    </xf>
    <xf numFmtId="168" fontId="0" fillId="0" borderId="2" xfId="0" applyNumberFormat="1" applyBorder="1"/>
    <xf numFmtId="168" fontId="0" fillId="10" borderId="2" xfId="0" applyNumberFormat="1" applyFill="1" applyBorder="1"/>
    <xf numFmtId="169" fontId="3" fillId="0" borderId="2" xfId="2" applyNumberFormat="1" applyFont="1" applyFill="1" applyBorder="1"/>
    <xf numFmtId="0" fontId="7" fillId="0" borderId="2" xfId="2" applyNumberFormat="1" applyFont="1" applyBorder="1"/>
    <xf numFmtId="164" fontId="3" fillId="5" borderId="2" xfId="2" applyFont="1" applyFill="1" applyBorder="1"/>
    <xf numFmtId="170" fontId="0" fillId="0" borderId="2" xfId="2" applyNumberFormat="1" applyFont="1" applyBorder="1"/>
    <xf numFmtId="1" fontId="0" fillId="0" borderId="2" xfId="0" applyNumberFormat="1" applyBorder="1"/>
    <xf numFmtId="41" fontId="0" fillId="2" borderId="2" xfId="0" applyNumberFormat="1" applyFill="1" applyBorder="1"/>
    <xf numFmtId="3" fontId="0" fillId="5" borderId="11" xfId="0" applyNumberFormat="1" applyFill="1" applyBorder="1" applyAlignment="1">
      <alignment horizontal="right"/>
    </xf>
    <xf numFmtId="0" fontId="0" fillId="5" borderId="6" xfId="0" applyFill="1" applyBorder="1"/>
    <xf numFmtId="3" fontId="0" fillId="5" borderId="5" xfId="0" applyNumberFormat="1" applyFill="1" applyBorder="1"/>
    <xf numFmtId="3" fontId="0" fillId="11" borderId="2" xfId="0" applyNumberFormat="1" applyFill="1" applyBorder="1"/>
    <xf numFmtId="4" fontId="0" fillId="10" borderId="2" xfId="0" applyNumberFormat="1" applyFill="1" applyBorder="1"/>
    <xf numFmtId="0" fontId="5" fillId="4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0" fillId="0" borderId="2" xfId="0" applyBorder="1" applyAlignment="1">
      <alignment horizontal="left"/>
    </xf>
    <xf numFmtId="41" fontId="7" fillId="0" borderId="2" xfId="0" applyNumberFormat="1" applyFont="1" applyBorder="1"/>
    <xf numFmtId="41" fontId="7" fillId="0" borderId="2" xfId="1" applyNumberFormat="1" applyFont="1" applyFill="1" applyBorder="1" applyAlignment="1">
      <alignment vertical="center"/>
    </xf>
    <xf numFmtId="41" fontId="0" fillId="0" borderId="2" xfId="0" applyNumberFormat="1" applyBorder="1"/>
    <xf numFmtId="41" fontId="0" fillId="2" borderId="3" xfId="0" applyNumberFormat="1" applyFill="1" applyBorder="1"/>
  </cellXfs>
  <cellStyles count="23">
    <cellStyle name="Millares" xfId="1" builtinId="3"/>
    <cellStyle name="Millares [0]" xfId="2" builtinId="6"/>
    <cellStyle name="Millares 10" xfId="3" xr:uid="{00000000-0005-0000-0000-000002000000}"/>
    <cellStyle name="Millares 11" xfId="4" xr:uid="{00000000-0005-0000-0000-000003000000}"/>
    <cellStyle name="Millares 2" xfId="5" xr:uid="{00000000-0005-0000-0000-000004000000}"/>
    <cellStyle name="Millares 2 2" xfId="6" xr:uid="{00000000-0005-0000-0000-000005000000}"/>
    <cellStyle name="Millares 3" xfId="7" xr:uid="{00000000-0005-0000-0000-000006000000}"/>
    <cellStyle name="Millares 3 2" xfId="8" xr:uid="{00000000-0005-0000-0000-000007000000}"/>
    <cellStyle name="Millares 4" xfId="9" xr:uid="{00000000-0005-0000-0000-000008000000}"/>
    <cellStyle name="Millares 4 2" xfId="10" xr:uid="{00000000-0005-0000-0000-000009000000}"/>
    <cellStyle name="Millares 5" xfId="11" xr:uid="{00000000-0005-0000-0000-00000A000000}"/>
    <cellStyle name="Millares 5 2" xfId="12" xr:uid="{00000000-0005-0000-0000-00000B000000}"/>
    <cellStyle name="Millares 6" xfId="13" xr:uid="{00000000-0005-0000-0000-00000C000000}"/>
    <cellStyle name="Millares 6 2" xfId="14" xr:uid="{00000000-0005-0000-0000-00000D000000}"/>
    <cellStyle name="Millares 7" xfId="15" xr:uid="{00000000-0005-0000-0000-00000E000000}"/>
    <cellStyle name="Millares 7 2" xfId="16" xr:uid="{00000000-0005-0000-0000-00000F000000}"/>
    <cellStyle name="Millares 8" xfId="17" xr:uid="{00000000-0005-0000-0000-000010000000}"/>
    <cellStyle name="Millares 9" xfId="18" xr:uid="{00000000-0005-0000-0000-000011000000}"/>
    <cellStyle name="Normal" xfId="0" builtinId="0"/>
    <cellStyle name="Normal 2" xfId="19" xr:uid="{00000000-0005-0000-0000-000013000000}"/>
    <cellStyle name="Normal 3" xfId="20" xr:uid="{00000000-0005-0000-0000-000014000000}"/>
    <cellStyle name="Normal 4" xfId="21" xr:uid="{00000000-0005-0000-0000-000015000000}"/>
    <cellStyle name="Normal 9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0" t="s">
        <v>1</v>
      </c>
      <c r="D2" s="91"/>
      <c r="E2" s="91"/>
      <c r="F2" s="91"/>
      <c r="G2" s="9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9" t="s">
        <v>7</v>
      </c>
      <c r="C4" s="80"/>
      <c r="D4" s="80"/>
      <c r="E4" s="80"/>
      <c r="F4" s="80"/>
      <c r="G4" s="81"/>
    </row>
    <row r="5" spans="1:7" x14ac:dyDescent="0.25">
      <c r="B5" s="75" t="s">
        <v>8</v>
      </c>
      <c r="C5" s="76"/>
      <c r="D5" s="76"/>
      <c r="E5" s="76"/>
      <c r="F5" s="76"/>
      <c r="G5" s="77"/>
    </row>
    <row r="6" spans="1:7" x14ac:dyDescent="0.25">
      <c r="B6" s="4" t="s">
        <v>9</v>
      </c>
      <c r="C6" s="12">
        <v>55221</v>
      </c>
      <c r="D6" s="12">
        <v>8195</v>
      </c>
      <c r="E6" s="17">
        <v>8825</v>
      </c>
      <c r="F6" s="12">
        <v>10339</v>
      </c>
      <c r="G6" s="12">
        <f>+F6+E6+D6+C6</f>
        <v>82580</v>
      </c>
    </row>
    <row r="7" spans="1:7" x14ac:dyDescent="0.25">
      <c r="B7" s="14" t="s">
        <v>10</v>
      </c>
      <c r="C7" s="12">
        <v>524</v>
      </c>
      <c r="D7" s="12">
        <v>222</v>
      </c>
      <c r="E7" s="17">
        <v>12</v>
      </c>
      <c r="F7" s="12">
        <v>144</v>
      </c>
      <c r="G7" s="12">
        <f>+F7+E7+D7+C7</f>
        <v>902</v>
      </c>
    </row>
    <row r="8" spans="1:7" x14ac:dyDescent="0.25">
      <c r="B8" s="18" t="s">
        <v>11</v>
      </c>
      <c r="C8" s="25">
        <v>55745</v>
      </c>
      <c r="D8" s="25">
        <v>8417</v>
      </c>
      <c r="E8" s="25">
        <f>SUM(E6:E7)</f>
        <v>8837</v>
      </c>
      <c r="F8" s="25">
        <v>10483</v>
      </c>
      <c r="G8" s="25">
        <f>+F8+E8+D8+C8</f>
        <v>83482</v>
      </c>
    </row>
    <row r="9" spans="1:7" x14ac:dyDescent="0.25">
      <c r="B9" s="70"/>
      <c r="C9" s="70"/>
      <c r="D9" s="70"/>
      <c r="E9" s="70"/>
      <c r="F9" s="70"/>
      <c r="G9" s="70"/>
    </row>
    <row r="10" spans="1:7" x14ac:dyDescent="0.25">
      <c r="B10" s="75" t="s">
        <v>12</v>
      </c>
      <c r="C10" s="76"/>
      <c r="D10" s="76"/>
      <c r="E10" s="76"/>
      <c r="F10" s="76"/>
      <c r="G10" s="77"/>
    </row>
    <row r="11" spans="1:7" x14ac:dyDescent="0.25">
      <c r="B11" s="71" t="s">
        <v>13</v>
      </c>
      <c r="C11" s="72"/>
      <c r="D11" s="72"/>
      <c r="E11" s="72"/>
      <c r="F11" s="72"/>
      <c r="G11" s="73"/>
    </row>
    <row r="12" spans="1:7" x14ac:dyDescent="0.25">
      <c r="B12" s="16" t="s">
        <v>14</v>
      </c>
      <c r="C12" s="12">
        <v>888346</v>
      </c>
      <c r="D12" s="12">
        <v>132416</v>
      </c>
      <c r="E12" s="12">
        <v>51374</v>
      </c>
      <c r="F12" s="12">
        <v>0</v>
      </c>
      <c r="G12" s="17">
        <f>SUM(C12:F12)</f>
        <v>1072136</v>
      </c>
    </row>
    <row r="13" spans="1:7" x14ac:dyDescent="0.25">
      <c r="B13" s="16" t="s">
        <v>15</v>
      </c>
      <c r="C13" s="12">
        <v>2432531</v>
      </c>
      <c r="D13" s="12">
        <v>557672</v>
      </c>
      <c r="E13" s="12">
        <v>235117</v>
      </c>
      <c r="F13" s="12">
        <v>0</v>
      </c>
      <c r="G13" s="17">
        <f>SUM(C13:F13)</f>
        <v>3225320</v>
      </c>
    </row>
    <row r="14" spans="1:7" x14ac:dyDescent="0.25">
      <c r="B14" s="18" t="s">
        <v>16</v>
      </c>
      <c r="C14" s="25">
        <v>3320877</v>
      </c>
      <c r="D14" s="25">
        <v>1008083</v>
      </c>
      <c r="E14" s="25">
        <v>286491</v>
      </c>
      <c r="F14" s="25">
        <v>131162</v>
      </c>
      <c r="G14" s="19">
        <f>SUM(C14:F14)</f>
        <v>4746613</v>
      </c>
    </row>
    <row r="15" spans="1:7" x14ac:dyDescent="0.25">
      <c r="B15" s="18" t="s">
        <v>17</v>
      </c>
      <c r="C15" s="25">
        <v>445494</v>
      </c>
      <c r="D15" s="25">
        <v>154939</v>
      </c>
      <c r="E15" s="25">
        <v>3073</v>
      </c>
      <c r="F15" s="25">
        <v>370615</v>
      </c>
      <c r="G15" s="19">
        <f>SUM(C15:F15)</f>
        <v>974121</v>
      </c>
    </row>
    <row r="16" spans="1:7" x14ac:dyDescent="0.25">
      <c r="B16" s="18" t="s">
        <v>18</v>
      </c>
      <c r="C16" s="25">
        <v>3766371</v>
      </c>
      <c r="D16" s="25">
        <v>1163022</v>
      </c>
      <c r="E16" s="25">
        <v>289564</v>
      </c>
      <c r="F16" s="25">
        <v>501777</v>
      </c>
      <c r="G16" s="19">
        <f>SUM(C16:F16)</f>
        <v>5720734</v>
      </c>
    </row>
    <row r="17" spans="2:8" x14ac:dyDescent="0.25">
      <c r="B17" s="70"/>
      <c r="C17" s="70"/>
      <c r="D17" s="70"/>
      <c r="E17" s="70"/>
      <c r="F17" s="70"/>
      <c r="G17" s="70"/>
    </row>
    <row r="18" spans="2:8" x14ac:dyDescent="0.25">
      <c r="B18" s="71" t="s">
        <v>19</v>
      </c>
      <c r="C18" s="72"/>
      <c r="D18" s="72"/>
      <c r="E18" s="72"/>
      <c r="F18" s="72"/>
      <c r="G18" s="73"/>
    </row>
    <row r="19" spans="2:8" x14ac:dyDescent="0.25">
      <c r="B19" s="14" t="s">
        <v>20</v>
      </c>
      <c r="C19" s="43">
        <v>3549</v>
      </c>
      <c r="D19" s="28">
        <v>4</v>
      </c>
      <c r="E19" s="28">
        <v>0</v>
      </c>
      <c r="F19" s="28">
        <v>0</v>
      </c>
      <c r="G19" s="28">
        <f>SUM(C19:F19)</f>
        <v>3553</v>
      </c>
    </row>
    <row r="20" spans="2:8" x14ac:dyDescent="0.25">
      <c r="B20" s="93"/>
      <c r="C20" s="93"/>
      <c r="D20" s="93"/>
      <c r="E20" s="93"/>
      <c r="F20" s="93"/>
      <c r="G20" s="93"/>
    </row>
    <row r="21" spans="2:8" x14ac:dyDescent="0.25">
      <c r="B21" s="18" t="s">
        <v>21</v>
      </c>
      <c r="C21" s="19">
        <f>+C19+C16</f>
        <v>3769920</v>
      </c>
      <c r="D21" s="19">
        <v>1163026</v>
      </c>
      <c r="E21" s="19">
        <v>289564</v>
      </c>
      <c r="F21" s="19">
        <f>F16</f>
        <v>501777</v>
      </c>
      <c r="G21" s="19">
        <f>SUM(C21:F21)</f>
        <v>5724287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399249</v>
      </c>
      <c r="D24" s="19">
        <v>196823</v>
      </c>
      <c r="E24" s="49">
        <v>134250</v>
      </c>
      <c r="F24" s="19">
        <v>675086</v>
      </c>
      <c r="G24" s="19">
        <f>SUM(C24:F24)</f>
        <v>1405408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4169169</v>
      </c>
      <c r="D27" s="19">
        <f>+D24+D21</f>
        <v>1359849</v>
      </c>
      <c r="E27" s="19">
        <f>+E21+E24</f>
        <v>423814</v>
      </c>
      <c r="F27" s="19">
        <f>+F24+F21</f>
        <v>1176863</v>
      </c>
      <c r="G27" s="19">
        <f>SUM(C27:F27)</f>
        <v>7129695</v>
      </c>
    </row>
    <row r="28" spans="2:8" x14ac:dyDescent="0.25">
      <c r="B28" s="70"/>
      <c r="C28" s="70"/>
      <c r="D28" s="70"/>
      <c r="E28" s="70"/>
      <c r="F28" s="70"/>
      <c r="G28" s="70"/>
      <c r="H28" s="70"/>
    </row>
    <row r="29" spans="2:8" x14ac:dyDescent="0.25">
      <c r="B29" s="75" t="s">
        <v>26</v>
      </c>
      <c r="C29" s="76"/>
      <c r="D29" s="76"/>
      <c r="E29" s="76"/>
      <c r="F29" s="76"/>
      <c r="G29" s="77"/>
    </row>
    <row r="30" spans="2:8" x14ac:dyDescent="0.25">
      <c r="B30" s="14" t="s">
        <v>27</v>
      </c>
      <c r="C30" s="28">
        <v>1204772</v>
      </c>
      <c r="D30" s="28">
        <v>129809</v>
      </c>
      <c r="E30" s="28">
        <v>86606</v>
      </c>
      <c r="F30" s="28">
        <v>199515</v>
      </c>
      <c r="G30" s="28">
        <f>SUM(C30:F30)</f>
        <v>1620702</v>
      </c>
    </row>
    <row r="31" spans="2:8" x14ac:dyDescent="0.25">
      <c r="B31" s="70"/>
      <c r="C31" s="70"/>
      <c r="D31" s="70"/>
      <c r="E31" s="70"/>
      <c r="F31" s="70"/>
      <c r="G31" s="70"/>
      <c r="H31" s="70"/>
    </row>
    <row r="32" spans="2:8" x14ac:dyDescent="0.25">
      <c r="B32" s="75" t="s">
        <v>28</v>
      </c>
      <c r="C32" s="76"/>
      <c r="D32" s="76"/>
      <c r="E32" s="76"/>
      <c r="F32" s="76"/>
      <c r="G32" s="77"/>
    </row>
    <row r="33" spans="2:9" x14ac:dyDescent="0.25">
      <c r="B33" s="14" t="s">
        <v>29</v>
      </c>
      <c r="C33" s="28">
        <v>3834294800049</v>
      </c>
      <c r="D33" s="28">
        <v>676128967030</v>
      </c>
      <c r="E33" s="28">
        <v>280713468824</v>
      </c>
      <c r="F33" s="28">
        <v>471131694328</v>
      </c>
      <c r="G33" s="28">
        <f>SUM(C33:F33)</f>
        <v>5262268930231</v>
      </c>
    </row>
    <row r="34" spans="2:9" x14ac:dyDescent="0.25">
      <c r="B34" s="14" t="s">
        <v>30</v>
      </c>
      <c r="C34" s="28">
        <v>160059200551</v>
      </c>
      <c r="D34" s="28">
        <v>66697155650</v>
      </c>
      <c r="E34" s="28">
        <v>38142655000</v>
      </c>
      <c r="F34" s="28">
        <v>197566700804</v>
      </c>
      <c r="G34" s="28">
        <f>SUM(C34:F34)</f>
        <v>462465712005</v>
      </c>
    </row>
    <row r="35" spans="2:9" x14ac:dyDescent="0.25">
      <c r="B35" s="41" t="s">
        <v>31</v>
      </c>
      <c r="C35" s="19">
        <v>3994354000600</v>
      </c>
      <c r="D35" s="19">
        <v>742826122680</v>
      </c>
      <c r="E35" s="19">
        <v>318856123824</v>
      </c>
      <c r="F35" s="19">
        <v>668698395132</v>
      </c>
      <c r="G35" s="42">
        <f>SUM(C35:F35)</f>
        <v>5724734642236</v>
      </c>
    </row>
    <row r="36" spans="2:9" x14ac:dyDescent="0.25">
      <c r="B36" s="86" t="s">
        <v>32</v>
      </c>
      <c r="C36" s="87"/>
      <c r="D36" s="87"/>
      <c r="E36" s="87"/>
      <c r="F36" s="87"/>
      <c r="G36" s="87"/>
      <c r="H36" s="88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79" t="s">
        <v>33</v>
      </c>
      <c r="C38" s="80"/>
      <c r="D38" s="80"/>
      <c r="E38" s="80"/>
      <c r="F38" s="80"/>
      <c r="G38" s="81"/>
    </row>
    <row r="39" spans="2:9" x14ac:dyDescent="0.25">
      <c r="B39" s="75" t="s">
        <v>34</v>
      </c>
      <c r="C39" s="76"/>
      <c r="D39" s="76"/>
      <c r="E39" s="76"/>
      <c r="F39" s="76"/>
      <c r="G39" s="77"/>
    </row>
    <row r="40" spans="2:9" x14ac:dyDescent="0.25">
      <c r="B40" s="14" t="s">
        <v>35</v>
      </c>
      <c r="C40" s="28">
        <v>572426</v>
      </c>
      <c r="D40" s="28">
        <v>108923</v>
      </c>
      <c r="E40" s="48">
        <v>52967</v>
      </c>
      <c r="F40" s="28">
        <v>67927</v>
      </c>
      <c r="G40" s="28">
        <f>SUM(C40:F40)</f>
        <v>802243</v>
      </c>
      <c r="H40" s="7"/>
      <c r="I40" s="7"/>
    </row>
    <row r="41" spans="2:9" x14ac:dyDescent="0.25">
      <c r="B41" s="14" t="s">
        <v>36</v>
      </c>
      <c r="C41" s="28">
        <f>3860864025/1000000</f>
        <v>3860.8640249999999</v>
      </c>
      <c r="D41" s="28">
        <v>993.880583</v>
      </c>
      <c r="E41" s="48">
        <v>412.2</v>
      </c>
      <c r="F41" s="28">
        <v>549.52221399999996</v>
      </c>
      <c r="G41" s="11">
        <f>SUM(C41:F41)</f>
        <v>5816.4668219999994</v>
      </c>
      <c r="H41" s="7"/>
      <c r="I41" s="7"/>
    </row>
    <row r="42" spans="2:9" x14ac:dyDescent="0.25">
      <c r="B42" s="70"/>
      <c r="C42" s="70"/>
      <c r="D42" s="70"/>
      <c r="E42" s="70"/>
      <c r="F42" s="70"/>
      <c r="G42" s="70"/>
      <c r="H42" s="70"/>
      <c r="I42" s="7"/>
    </row>
    <row r="43" spans="2:9" x14ac:dyDescent="0.25">
      <c r="B43" s="69" t="s">
        <v>37</v>
      </c>
      <c r="C43" s="69"/>
      <c r="D43" s="69"/>
      <c r="E43" s="69"/>
      <c r="F43" s="69"/>
      <c r="G43" s="69"/>
      <c r="I43" s="7"/>
    </row>
    <row r="44" spans="2:9" x14ac:dyDescent="0.25">
      <c r="B44" s="14" t="s">
        <v>38</v>
      </c>
      <c r="C44">
        <v>9</v>
      </c>
      <c r="D44" s="28">
        <v>11</v>
      </c>
      <c r="E44" s="28">
        <v>2</v>
      </c>
      <c r="F44" s="28">
        <v>2</v>
      </c>
      <c r="G44" s="28">
        <f>SUM(C44:F44)</f>
        <v>24</v>
      </c>
      <c r="H44" s="7"/>
      <c r="I44" s="7"/>
    </row>
    <row r="45" spans="2:9" x14ac:dyDescent="0.25">
      <c r="B45" s="14" t="s">
        <v>39</v>
      </c>
      <c r="C45" s="28">
        <f>4739815/1000000</f>
        <v>4.7398150000000001</v>
      </c>
      <c r="D45" s="28">
        <v>0.124449</v>
      </c>
      <c r="E45" s="28">
        <v>8.0000000000000002E-3</v>
      </c>
      <c r="F45" s="28">
        <v>0.121561</v>
      </c>
      <c r="G45" s="11">
        <f>SUM(C45:F45)</f>
        <v>4.9938250000000002</v>
      </c>
      <c r="H45" s="7"/>
      <c r="I45" s="7"/>
    </row>
    <row r="46" spans="2:9" x14ac:dyDescent="0.25">
      <c r="B46" s="70"/>
      <c r="C46" s="70"/>
      <c r="D46" s="70"/>
      <c r="E46" s="70"/>
      <c r="F46" s="70"/>
      <c r="G46" s="70"/>
      <c r="H46" s="70"/>
      <c r="I46" s="7"/>
    </row>
    <row r="47" spans="2:9" x14ac:dyDescent="0.25">
      <c r="B47" s="69" t="s">
        <v>40</v>
      </c>
      <c r="C47" s="69"/>
      <c r="D47" s="69"/>
      <c r="E47" s="69"/>
      <c r="F47" s="69"/>
      <c r="G47" s="69"/>
      <c r="I47" s="7"/>
    </row>
    <row r="48" spans="2:9" x14ac:dyDescent="0.25">
      <c r="B48" s="14" t="s">
        <v>41</v>
      </c>
      <c r="C48" s="28">
        <v>158474</v>
      </c>
      <c r="D48" s="28">
        <v>74277</v>
      </c>
      <c r="E48" s="28">
        <v>11525</v>
      </c>
      <c r="F48" s="28">
        <v>54783</v>
      </c>
      <c r="G48" s="28">
        <f>SUM(C48:F48)</f>
        <v>299059</v>
      </c>
      <c r="H48" s="7"/>
      <c r="I48" s="7"/>
    </row>
    <row r="49" spans="2:9" x14ac:dyDescent="0.25">
      <c r="B49" s="14" t="s">
        <v>42</v>
      </c>
      <c r="C49" s="28">
        <f>(74994784026+ 1431352863)/1000000</f>
        <v>76426.136889000001</v>
      </c>
      <c r="D49" s="28">
        <v>24890.913139</v>
      </c>
      <c r="E49" s="28">
        <f>9648772414/1000000</f>
        <v>9648.7724139999991</v>
      </c>
      <c r="F49" s="28">
        <v>9808.8817880000006</v>
      </c>
      <c r="G49" s="11">
        <f>SUM(C49:F49)</f>
        <v>120774.70423</v>
      </c>
      <c r="H49" s="7"/>
      <c r="I49" s="7"/>
    </row>
    <row r="50" spans="2:9" x14ac:dyDescent="0.25">
      <c r="B50" s="70"/>
      <c r="C50" s="70"/>
      <c r="D50" s="70"/>
      <c r="E50" s="70"/>
      <c r="F50" s="70"/>
      <c r="G50" s="70"/>
      <c r="H50" s="70"/>
    </row>
    <row r="51" spans="2:9" ht="21" x14ac:dyDescent="0.35">
      <c r="B51" s="79" t="s">
        <v>43</v>
      </c>
      <c r="C51" s="80"/>
      <c r="D51" s="80"/>
      <c r="E51" s="80"/>
      <c r="F51" s="80"/>
      <c r="G51" s="81"/>
    </row>
    <row r="52" spans="2:9" x14ac:dyDescent="0.25">
      <c r="B52" s="89"/>
      <c r="C52" s="89"/>
      <c r="D52" s="89"/>
      <c r="E52" s="89"/>
      <c r="F52" s="89"/>
      <c r="G52" s="89"/>
      <c r="H52" s="89"/>
    </row>
    <row r="53" spans="2:9" x14ac:dyDescent="0.25">
      <c r="B53" s="69" t="s">
        <v>44</v>
      </c>
      <c r="C53" s="69"/>
      <c r="D53" s="69"/>
      <c r="E53" s="69"/>
      <c r="F53" s="69"/>
      <c r="G53" s="69"/>
    </row>
    <row r="54" spans="2:9" x14ac:dyDescent="0.25">
      <c r="B54" s="74" t="s">
        <v>45</v>
      </c>
      <c r="C54" s="74"/>
      <c r="D54" s="74"/>
      <c r="E54" s="74"/>
      <c r="F54" s="74"/>
      <c r="G54" s="74"/>
    </row>
    <row r="55" spans="2:9" x14ac:dyDescent="0.25">
      <c r="B55" s="14" t="s">
        <v>46</v>
      </c>
      <c r="C55" s="28">
        <v>73329</v>
      </c>
      <c r="D55" s="28">
        <v>5080</v>
      </c>
      <c r="E55" s="29">
        <v>1612</v>
      </c>
      <c r="F55" s="28">
        <v>5074</v>
      </c>
      <c r="G55" s="28">
        <f t="shared" ref="G55:G71" si="0">SUM(C55:F55)</f>
        <v>85095</v>
      </c>
    </row>
    <row r="56" spans="2:9" x14ac:dyDescent="0.25">
      <c r="B56" s="14" t="s">
        <v>47</v>
      </c>
      <c r="C56" s="28">
        <v>51626.798138999999</v>
      </c>
      <c r="D56" s="28">
        <v>6803.1058830000002</v>
      </c>
      <c r="E56" s="29">
        <v>2661</v>
      </c>
      <c r="F56" s="28">
        <v>11050</v>
      </c>
      <c r="G56" s="28">
        <f t="shared" si="0"/>
        <v>72140.904022000002</v>
      </c>
    </row>
    <row r="57" spans="2:9" x14ac:dyDescent="0.25">
      <c r="B57" s="14" t="s">
        <v>48</v>
      </c>
      <c r="C57" s="28">
        <v>13.1008877797324</v>
      </c>
      <c r="D57" s="28">
        <v>37.280759535073109</v>
      </c>
      <c r="E57" s="50">
        <v>24</v>
      </c>
      <c r="F57" s="28">
        <v>29</v>
      </c>
      <c r="G57" s="28">
        <f>AVERAGE(C57:F57)</f>
        <v>25.845411828701376</v>
      </c>
    </row>
    <row r="58" spans="2:9" x14ac:dyDescent="0.25">
      <c r="B58" s="14" t="s">
        <v>49</v>
      </c>
      <c r="C58" s="28">
        <v>729327</v>
      </c>
      <c r="D58" s="28">
        <v>134289</v>
      </c>
      <c r="E58" s="95">
        <v>51412</v>
      </c>
      <c r="F58" s="28">
        <v>70852</v>
      </c>
      <c r="G58" s="28">
        <f t="shared" si="0"/>
        <v>985880</v>
      </c>
    </row>
    <row r="59" spans="2:9" x14ac:dyDescent="0.25">
      <c r="B59" s="14" t="s">
        <v>50</v>
      </c>
      <c r="C59" s="28">
        <v>1734323.2429140001</v>
      </c>
      <c r="D59" s="28">
        <v>260186.310474</v>
      </c>
      <c r="E59" s="96">
        <v>112928.24051600001</v>
      </c>
      <c r="F59" s="28">
        <v>152719</v>
      </c>
      <c r="G59" s="11">
        <f t="shared" si="0"/>
        <v>2260156.793904</v>
      </c>
    </row>
    <row r="60" spans="2:9" x14ac:dyDescent="0.25">
      <c r="B60" s="74" t="s">
        <v>51</v>
      </c>
      <c r="C60" s="74"/>
      <c r="D60" s="74"/>
      <c r="E60" s="74"/>
      <c r="F60" s="74"/>
      <c r="G60" s="7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4" t="s">
        <v>52</v>
      </c>
      <c r="C66" s="74"/>
      <c r="D66" s="74"/>
      <c r="E66" s="74"/>
      <c r="F66" s="74"/>
      <c r="G66" s="74"/>
    </row>
    <row r="67" spans="2:8" x14ac:dyDescent="0.25">
      <c r="B67" s="14" t="s">
        <v>46</v>
      </c>
      <c r="C67" s="28">
        <v>7529</v>
      </c>
      <c r="D67" s="28">
        <v>1927</v>
      </c>
      <c r="E67" s="28">
        <v>1273</v>
      </c>
      <c r="F67" s="28">
        <v>13562</v>
      </c>
      <c r="G67" s="28">
        <f t="shared" si="0"/>
        <v>24291</v>
      </c>
    </row>
    <row r="68" spans="2:8" x14ac:dyDescent="0.25">
      <c r="B68" s="14" t="s">
        <v>47</v>
      </c>
      <c r="C68" s="28">
        <v>6246.7606969999997</v>
      </c>
      <c r="D68" s="28">
        <v>2056.5115730000002</v>
      </c>
      <c r="E68" s="28">
        <v>1432</v>
      </c>
      <c r="F68" s="28">
        <v>16190</v>
      </c>
      <c r="G68" s="28">
        <f t="shared" si="0"/>
        <v>25925.272270000001</v>
      </c>
    </row>
    <row r="69" spans="2:8" x14ac:dyDescent="0.25">
      <c r="B69" s="14" t="s">
        <v>48</v>
      </c>
      <c r="C69" s="28">
        <v>38.262451852835703</v>
      </c>
      <c r="D69" s="28">
        <v>54.832424227424006</v>
      </c>
      <c r="E69" s="28">
        <v>48</v>
      </c>
      <c r="F69" s="28">
        <v>39</v>
      </c>
      <c r="G69" s="28">
        <f>AVERAGE(C69:F69)</f>
        <v>45.023719020064931</v>
      </c>
    </row>
    <row r="70" spans="2:8" x14ac:dyDescent="0.25">
      <c r="B70" s="14" t="s">
        <v>49</v>
      </c>
      <c r="C70" s="28">
        <v>121761</v>
      </c>
      <c r="D70" s="28">
        <v>87496</v>
      </c>
      <c r="E70" s="28">
        <v>55133</v>
      </c>
      <c r="F70" s="28">
        <v>255930</v>
      </c>
      <c r="G70" s="28">
        <f t="shared" si="0"/>
        <v>520320</v>
      </c>
    </row>
    <row r="71" spans="2:8" x14ac:dyDescent="0.25">
      <c r="B71" s="14" t="s">
        <v>50</v>
      </c>
      <c r="C71" s="28">
        <v>120140.372378</v>
      </c>
      <c r="D71" s="28">
        <v>94435.215568</v>
      </c>
      <c r="E71" s="28">
        <v>56609.504142999998</v>
      </c>
      <c r="F71" s="28">
        <v>220605</v>
      </c>
      <c r="G71" s="11">
        <f t="shared" si="0"/>
        <v>491790.09208899998</v>
      </c>
    </row>
    <row r="72" spans="2:8" x14ac:dyDescent="0.25">
      <c r="B72" s="83" t="s">
        <v>53</v>
      </c>
      <c r="C72" s="84"/>
      <c r="D72" s="84"/>
      <c r="E72" s="84"/>
      <c r="F72" s="84"/>
      <c r="G72" s="85"/>
    </row>
    <row r="73" spans="2:8" x14ac:dyDescent="0.25">
      <c r="B73" s="18" t="s">
        <v>54</v>
      </c>
      <c r="C73" s="19">
        <f>+C55+C67</f>
        <v>80858</v>
      </c>
      <c r="D73" s="19">
        <f>+D67+D61+D55</f>
        <v>7007</v>
      </c>
      <c r="E73" s="19">
        <v>2885</v>
      </c>
      <c r="F73" s="19">
        <v>18636</v>
      </c>
      <c r="G73" s="19">
        <f>SUM(C73:F73)</f>
        <v>109386</v>
      </c>
    </row>
    <row r="74" spans="2:8" x14ac:dyDescent="0.25">
      <c r="B74" s="18" t="s">
        <v>47</v>
      </c>
      <c r="C74" s="19">
        <f>+C56+C68</f>
        <v>57873.558835999997</v>
      </c>
      <c r="D74" s="19">
        <f t="shared" ref="D74:D76" si="1">+D68+D62+D56</f>
        <v>8859.6174559999999</v>
      </c>
      <c r="E74" s="19">
        <v>4093</v>
      </c>
      <c r="F74" s="19">
        <v>27240</v>
      </c>
      <c r="G74" s="22">
        <f>SUM(C74:F74)</f>
        <v>98066.176291999989</v>
      </c>
    </row>
    <row r="75" spans="2:8" x14ac:dyDescent="0.25">
      <c r="B75" s="18" t="s">
        <v>48</v>
      </c>
      <c r="C75" s="19">
        <v>15.443777981152101</v>
      </c>
      <c r="D75" s="19">
        <f>(+D57+D63+D69)/3</f>
        <v>30.704394587499038</v>
      </c>
      <c r="E75" s="19">
        <v>72</v>
      </c>
      <c r="F75" s="19">
        <v>34</v>
      </c>
      <c r="G75" s="19">
        <f>AVERAGE(C75:F75)</f>
        <v>38.037043142162787</v>
      </c>
    </row>
    <row r="76" spans="2:8" x14ac:dyDescent="0.25">
      <c r="B76" s="18" t="s">
        <v>49</v>
      </c>
      <c r="C76" s="19">
        <f>+C58+C70</f>
        <v>851088</v>
      </c>
      <c r="D76" s="19">
        <f t="shared" si="1"/>
        <v>221785</v>
      </c>
      <c r="E76" s="19">
        <v>106545</v>
      </c>
      <c r="F76" s="19">
        <v>326782</v>
      </c>
      <c r="G76" s="19">
        <f>SUM(C76:F76)</f>
        <v>1506200</v>
      </c>
    </row>
    <row r="77" spans="2:8" x14ac:dyDescent="0.25">
      <c r="B77" s="18" t="s">
        <v>50</v>
      </c>
      <c r="C77" s="19">
        <f>+C59+C71</f>
        <v>1854463.6152920001</v>
      </c>
      <c r="D77" s="19">
        <f>+D71+D65+D59</f>
        <v>354621.52604199998</v>
      </c>
      <c r="E77" s="19">
        <v>169537.74465900002</v>
      </c>
      <c r="F77" s="19">
        <v>373324</v>
      </c>
      <c r="G77" s="22">
        <f>SUM(C77:F77)</f>
        <v>2751946.8859930001</v>
      </c>
    </row>
    <row r="78" spans="2:8" x14ac:dyDescent="0.25">
      <c r="B78" s="70"/>
      <c r="C78" s="70"/>
      <c r="D78" s="70"/>
      <c r="E78" s="70"/>
      <c r="F78" s="70"/>
      <c r="G78" s="70"/>
      <c r="H78" s="70"/>
    </row>
    <row r="79" spans="2:8" x14ac:dyDescent="0.25">
      <c r="B79" s="75" t="s">
        <v>55</v>
      </c>
      <c r="C79" s="76"/>
      <c r="D79" s="76"/>
      <c r="E79" s="76"/>
      <c r="F79" s="76"/>
      <c r="G79" s="77"/>
    </row>
    <row r="80" spans="2:8" x14ac:dyDescent="0.25">
      <c r="B80" s="71" t="s">
        <v>45</v>
      </c>
      <c r="C80" s="72"/>
      <c r="D80" s="72"/>
      <c r="E80" s="72"/>
      <c r="F80" s="72"/>
      <c r="G80" s="7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1025</v>
      </c>
      <c r="D84" s="24">
        <v>120</v>
      </c>
      <c r="E84" s="33">
        <v>6</v>
      </c>
      <c r="F84" s="24">
        <v>99</v>
      </c>
      <c r="G84" s="24">
        <f>SUM(C84:F84)</f>
        <v>1250</v>
      </c>
    </row>
    <row r="85" spans="2:7" x14ac:dyDescent="0.25">
      <c r="B85" s="14" t="s">
        <v>50</v>
      </c>
      <c r="C85" s="24">
        <v>22243.644495</v>
      </c>
      <c r="D85" s="24">
        <v>1509</v>
      </c>
      <c r="E85" s="33">
        <v>79</v>
      </c>
      <c r="F85" s="28">
        <v>1857.6990350000001</v>
      </c>
      <c r="G85" s="11">
        <f>SUM(C85:F85)</f>
        <v>25689.343530000002</v>
      </c>
    </row>
    <row r="86" spans="2:7" x14ac:dyDescent="0.25">
      <c r="B86" s="71" t="s">
        <v>51</v>
      </c>
      <c r="C86" s="72"/>
      <c r="D86" s="72"/>
      <c r="E86" s="72"/>
      <c r="F86" s="72"/>
      <c r="G86" s="7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1" t="s">
        <v>52</v>
      </c>
      <c r="C92" s="72"/>
      <c r="D92" s="72"/>
      <c r="E92" s="72"/>
      <c r="F92" s="72"/>
      <c r="G92" s="73"/>
    </row>
    <row r="93" spans="2:7" x14ac:dyDescent="0.25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24">
        <v>12</v>
      </c>
      <c r="D96" s="24">
        <v>0</v>
      </c>
      <c r="E96" s="24">
        <v>0</v>
      </c>
      <c r="F96" s="24">
        <v>7</v>
      </c>
      <c r="G96" s="28">
        <f>SUM(C96:F96)</f>
        <v>19</v>
      </c>
    </row>
    <row r="97" spans="2:8" x14ac:dyDescent="0.25">
      <c r="B97" s="14" t="s">
        <v>50</v>
      </c>
      <c r="C97" s="24">
        <v>191.151858</v>
      </c>
      <c r="D97" s="24">
        <v>0</v>
      </c>
      <c r="E97" s="24">
        <v>0</v>
      </c>
      <c r="F97" s="24">
        <v>90.701849999999993</v>
      </c>
      <c r="G97" s="11">
        <f>SUM(C97:F97)</f>
        <v>281.85370799999998</v>
      </c>
    </row>
    <row r="98" spans="2:8" x14ac:dyDescent="0.25">
      <c r="B98" s="83" t="s">
        <v>56</v>
      </c>
      <c r="C98" s="84"/>
      <c r="D98" s="84"/>
      <c r="E98" s="84"/>
      <c r="F98" s="84"/>
      <c r="G98" s="8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7">
        <f>+C96+C84</f>
        <v>1037</v>
      </c>
      <c r="D102" s="47">
        <f t="shared" ref="D102:D103" si="2">+D96+D90+D84</f>
        <v>120</v>
      </c>
      <c r="E102" s="47">
        <f>+E84</f>
        <v>6</v>
      </c>
      <c r="F102" s="47">
        <f>+F96+F84</f>
        <v>106</v>
      </c>
      <c r="G102" s="19">
        <f>SUM(C102:F102)</f>
        <v>1269</v>
      </c>
    </row>
    <row r="103" spans="2:8" x14ac:dyDescent="0.25">
      <c r="B103" s="18" t="s">
        <v>50</v>
      </c>
      <c r="C103" s="47">
        <f>+C97+C85</f>
        <v>22434.796353000002</v>
      </c>
      <c r="D103" s="47">
        <f t="shared" si="2"/>
        <v>1509</v>
      </c>
      <c r="E103" s="47">
        <f>+E85</f>
        <v>79</v>
      </c>
      <c r="F103" s="45">
        <f>+F85+F97</f>
        <v>1948.400885</v>
      </c>
      <c r="G103" s="22">
        <f>SUM(C103:F103)</f>
        <v>25971.197238000001</v>
      </c>
    </row>
    <row r="104" spans="2:8" x14ac:dyDescent="0.25">
      <c r="B104" s="70"/>
      <c r="C104" s="70"/>
      <c r="D104" s="70"/>
      <c r="E104" s="70"/>
      <c r="F104" s="70"/>
      <c r="G104" s="70"/>
      <c r="H104" s="70"/>
    </row>
    <row r="105" spans="2:8" x14ac:dyDescent="0.25">
      <c r="B105" s="69" t="s">
        <v>57</v>
      </c>
      <c r="C105" s="69"/>
      <c r="D105" s="69"/>
      <c r="E105" s="69"/>
      <c r="F105" s="69"/>
      <c r="G105" s="69"/>
    </row>
    <row r="106" spans="2:8" x14ac:dyDescent="0.25">
      <c r="B106" s="74" t="s">
        <v>58</v>
      </c>
      <c r="C106" s="74"/>
      <c r="D106" s="74"/>
      <c r="E106" s="74"/>
      <c r="F106" s="74"/>
      <c r="G106" s="74"/>
    </row>
    <row r="107" spans="2:8" x14ac:dyDescent="0.25">
      <c r="B107" s="14" t="s">
        <v>59</v>
      </c>
      <c r="C107" s="13">
        <v>2.4072527398493642</v>
      </c>
      <c r="D107" s="13">
        <v>2.4476688867744887</v>
      </c>
      <c r="E107" s="31">
        <v>2.58</v>
      </c>
      <c r="F107" s="13">
        <v>2.4900000000000002</v>
      </c>
      <c r="G107" s="13">
        <f>AVERAGE(C107:F107)</f>
        <v>2.4812304066559632</v>
      </c>
    </row>
    <row r="108" spans="2:8" x14ac:dyDescent="0.25">
      <c r="B108" s="14" t="s">
        <v>60</v>
      </c>
      <c r="C108" s="13">
        <v>2.1647258326563872</v>
      </c>
      <c r="D108" s="13">
        <v>2.4500000000000308</v>
      </c>
      <c r="E108" s="32">
        <v>2.63</v>
      </c>
      <c r="F108" s="13">
        <v>2.4900000000000002</v>
      </c>
      <c r="G108" s="13">
        <f>AVERAGE(C108:F108)</f>
        <v>2.4336814581641049</v>
      </c>
    </row>
    <row r="109" spans="2:8" x14ac:dyDescent="0.25">
      <c r="B109" s="14" t="s">
        <v>61</v>
      </c>
      <c r="C109" s="13">
        <v>1.9921512968300306</v>
      </c>
      <c r="D109" s="13">
        <v>2.6102118003025523</v>
      </c>
      <c r="E109" s="31">
        <v>2.74</v>
      </c>
      <c r="F109" s="13">
        <v>2.57</v>
      </c>
      <c r="G109" s="13">
        <f>AVERAGE(C109:F109)</f>
        <v>2.4780907742831459</v>
      </c>
    </row>
    <row r="110" spans="2:8" x14ac:dyDescent="0.25">
      <c r="B110" s="74" t="s">
        <v>62</v>
      </c>
      <c r="C110" s="74"/>
      <c r="D110" s="74"/>
      <c r="E110" s="74"/>
      <c r="F110" s="74"/>
      <c r="G110" s="74"/>
    </row>
    <row r="111" spans="2:8" x14ac:dyDescent="0.25">
      <c r="B111" s="14" t="s">
        <v>59</v>
      </c>
      <c r="C111" s="13">
        <v>1.8499999999999999</v>
      </c>
      <c r="D111" s="13">
        <v>1.5999999999999999</v>
      </c>
      <c r="E111" s="31">
        <v>1.6</v>
      </c>
      <c r="F111" s="13">
        <v>1.9921512968300306</v>
      </c>
      <c r="G111" s="13">
        <f>AVERAGE(C111:F111)</f>
        <v>1.7605378242075076</v>
      </c>
    </row>
    <row r="112" spans="2:8" x14ac:dyDescent="0.25">
      <c r="B112" s="14" t="s">
        <v>60</v>
      </c>
      <c r="C112" s="13">
        <v>1.8499999999999974</v>
      </c>
      <c r="D112" s="13">
        <v>2.1599999999999993</v>
      </c>
      <c r="E112" s="31">
        <v>2.15</v>
      </c>
      <c r="F112" s="13">
        <v>2.14</v>
      </c>
      <c r="G112" s="13">
        <f>AVERAGE(C112:F112)</f>
        <v>2.0749999999999993</v>
      </c>
    </row>
    <row r="113" spans="2:9" x14ac:dyDescent="0.25">
      <c r="B113" s="14" t="s">
        <v>61</v>
      </c>
      <c r="C113" s="13">
        <v>1.8300165289256247</v>
      </c>
      <c r="D113" s="13">
        <v>2.1600000000000028</v>
      </c>
      <c r="E113" s="31">
        <v>2.38</v>
      </c>
      <c r="F113" s="13">
        <v>2.15</v>
      </c>
      <c r="G113" s="13">
        <f>AVERAGE(C113:F113)</f>
        <v>2.1300041322314067</v>
      </c>
    </row>
    <row r="114" spans="2:9" x14ac:dyDescent="0.25">
      <c r="B114" s="70"/>
      <c r="C114" s="70"/>
      <c r="D114" s="70"/>
      <c r="E114" s="70"/>
      <c r="F114" s="70"/>
      <c r="G114" s="70"/>
      <c r="H114" s="70"/>
      <c r="I114" s="70"/>
    </row>
    <row r="115" spans="2:9" x14ac:dyDescent="0.25">
      <c r="B115" s="74" t="s">
        <v>63</v>
      </c>
      <c r="C115" s="74"/>
      <c r="D115" s="74"/>
      <c r="E115" s="74"/>
      <c r="F115" s="74"/>
      <c r="G115" s="74"/>
    </row>
    <row r="116" spans="2:9" x14ac:dyDescent="0.25">
      <c r="B116" s="14" t="s">
        <v>59</v>
      </c>
      <c r="C116" s="13">
        <v>1.5321620171674026</v>
      </c>
      <c r="D116" s="13">
        <v>1.7900000000000023</v>
      </c>
      <c r="E116" s="32">
        <v>1.77</v>
      </c>
      <c r="F116" s="13">
        <v>1.77</v>
      </c>
      <c r="G116" s="13">
        <f>AVERAGE(C116:F116)</f>
        <v>1.7155405042918512</v>
      </c>
    </row>
    <row r="117" spans="2:9" x14ac:dyDescent="0.25">
      <c r="B117" s="14" t="s">
        <v>60</v>
      </c>
      <c r="C117" s="13">
        <v>1.757670050761502</v>
      </c>
      <c r="D117" s="13">
        <v>1.7824472573839727</v>
      </c>
      <c r="E117" s="32">
        <v>1.76</v>
      </c>
      <c r="F117" s="13">
        <v>1.77</v>
      </c>
      <c r="G117" s="13">
        <f>AVERAGE(C117:F117)</f>
        <v>1.7675293270363688</v>
      </c>
    </row>
    <row r="118" spans="2:9" x14ac:dyDescent="0.25">
      <c r="B118" s="14" t="s">
        <v>61</v>
      </c>
      <c r="C118" s="13">
        <v>1.693680063980338</v>
      </c>
      <c r="D118" s="13">
        <v>1.7886434255399462</v>
      </c>
      <c r="E118" s="32">
        <v>2.0099999999999998</v>
      </c>
      <c r="F118" s="13">
        <v>1.89</v>
      </c>
      <c r="G118" s="13">
        <f>AVERAGE(C118:F118)</f>
        <v>1.8455808723800708</v>
      </c>
    </row>
    <row r="119" spans="2:9" x14ac:dyDescent="0.25">
      <c r="B119" s="71" t="s">
        <v>64</v>
      </c>
      <c r="C119" s="72"/>
      <c r="D119" s="72"/>
      <c r="E119" s="72"/>
      <c r="F119" s="72"/>
      <c r="G119" s="73"/>
    </row>
    <row r="120" spans="2:9" x14ac:dyDescent="0.25">
      <c r="B120" s="14" t="s">
        <v>59</v>
      </c>
      <c r="C120" s="13">
        <v>0</v>
      </c>
      <c r="D120" s="13">
        <v>1.43</v>
      </c>
      <c r="E120" s="31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44">
        <v>1.34</v>
      </c>
      <c r="D121" s="13">
        <v>1.43</v>
      </c>
      <c r="E121" s="31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1.7</v>
      </c>
      <c r="F122" s="13">
        <v>1.693680063980338</v>
      </c>
      <c r="G122" s="13">
        <f>AVERAGE(C122:F122)</f>
        <v>1.5634200159950844</v>
      </c>
    </row>
    <row r="123" spans="2:9" x14ac:dyDescent="0.25">
      <c r="B123" s="70"/>
      <c r="C123" s="70"/>
      <c r="D123" s="70"/>
      <c r="E123" s="70"/>
      <c r="F123" s="70"/>
      <c r="G123" s="70"/>
      <c r="H123" s="70"/>
    </row>
    <row r="124" spans="2:9" x14ac:dyDescent="0.25">
      <c r="B124" s="75" t="s">
        <v>65</v>
      </c>
      <c r="C124" s="76"/>
      <c r="D124" s="76"/>
      <c r="E124" s="76"/>
      <c r="F124" s="76"/>
      <c r="G124" s="7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5" t="s">
        <v>67</v>
      </c>
      <c r="C126" s="76"/>
      <c r="D126" s="76"/>
      <c r="E126" s="76"/>
      <c r="F126" s="76"/>
      <c r="G126" s="77"/>
    </row>
    <row r="127" spans="2:9" x14ac:dyDescent="0.25">
      <c r="B127" s="3" t="s">
        <v>68</v>
      </c>
      <c r="C127" s="13">
        <v>1.61</v>
      </c>
      <c r="D127" s="39">
        <v>2.0385780053153901</v>
      </c>
      <c r="E127" s="34">
        <v>2.0652828176513469</v>
      </c>
      <c r="F127" s="4">
        <v>0</v>
      </c>
      <c r="G127" s="11">
        <f>AVERAGE(C127:E127)</f>
        <v>1.9046202743222456</v>
      </c>
    </row>
    <row r="128" spans="2:9" x14ac:dyDescent="0.25">
      <c r="B128" s="82"/>
      <c r="C128" s="82"/>
      <c r="D128" s="82"/>
      <c r="E128" s="82"/>
      <c r="F128" s="82"/>
      <c r="G128" s="82"/>
      <c r="H128" s="82"/>
    </row>
    <row r="129" spans="2:9" x14ac:dyDescent="0.25">
      <c r="B129" s="69" t="s">
        <v>69</v>
      </c>
      <c r="C129" s="69"/>
      <c r="D129" s="69"/>
      <c r="E129" s="69"/>
      <c r="F129" s="69"/>
      <c r="G129" s="69"/>
    </row>
    <row r="130" spans="2:9" x14ac:dyDescent="0.25">
      <c r="B130" s="14" t="s">
        <v>70</v>
      </c>
      <c r="C130" s="28">
        <v>254926</v>
      </c>
      <c r="D130" s="28">
        <v>3580</v>
      </c>
      <c r="E130" s="28">
        <v>8565</v>
      </c>
      <c r="F130" s="28">
        <v>809</v>
      </c>
      <c r="G130" s="28">
        <f>SUM(C130:F130)</f>
        <v>267880</v>
      </c>
    </row>
    <row r="131" spans="2:9" x14ac:dyDescent="0.25">
      <c r="B131" s="14" t="s">
        <v>71</v>
      </c>
      <c r="C131" s="28">
        <v>170780.24333699999</v>
      </c>
      <c r="D131" s="28">
        <v>3817.5570290000001</v>
      </c>
      <c r="E131" s="28">
        <v>1101</v>
      </c>
      <c r="F131" s="28">
        <v>834.02326600000004</v>
      </c>
      <c r="G131" s="11">
        <f>SUM(C131:F131)</f>
        <v>176532.82363199999</v>
      </c>
    </row>
    <row r="132" spans="2:9" x14ac:dyDescent="0.25">
      <c r="B132" s="70"/>
      <c r="C132" s="70"/>
      <c r="D132" s="70"/>
      <c r="E132" s="70"/>
      <c r="F132" s="70"/>
      <c r="G132" s="70"/>
      <c r="H132" s="70"/>
    </row>
    <row r="133" spans="2:9" x14ac:dyDescent="0.25">
      <c r="B133" s="69" t="s">
        <v>72</v>
      </c>
      <c r="C133" s="69"/>
      <c r="D133" s="69"/>
      <c r="E133" s="69"/>
      <c r="F133" s="69"/>
      <c r="G133" s="69"/>
    </row>
    <row r="134" spans="2:9" x14ac:dyDescent="0.25">
      <c r="B134" s="14" t="s">
        <v>73</v>
      </c>
      <c r="C134" s="28">
        <v>494218</v>
      </c>
      <c r="D134" s="28">
        <v>367094</v>
      </c>
      <c r="E134" s="28">
        <v>121927</v>
      </c>
      <c r="F134" s="28">
        <v>290470</v>
      </c>
      <c r="G134" s="28">
        <f>SUM(C134:F134)</f>
        <v>1273709</v>
      </c>
    </row>
    <row r="135" spans="2:9" x14ac:dyDescent="0.25">
      <c r="B135" s="70"/>
      <c r="C135" s="70"/>
      <c r="D135" s="70"/>
      <c r="E135" s="70"/>
      <c r="F135" s="70"/>
      <c r="G135" s="70"/>
      <c r="H135" s="70"/>
    </row>
    <row r="136" spans="2:9" ht="21" x14ac:dyDescent="0.35">
      <c r="B136" s="78" t="s">
        <v>74</v>
      </c>
      <c r="C136" s="78"/>
      <c r="D136" s="78"/>
      <c r="E136" s="78"/>
      <c r="F136" s="78"/>
      <c r="G136" s="78"/>
    </row>
    <row r="137" spans="2:9" x14ac:dyDescent="0.25">
      <c r="B137" s="69" t="s">
        <v>75</v>
      </c>
      <c r="C137" s="69"/>
      <c r="D137" s="69"/>
      <c r="E137" s="69"/>
      <c r="F137" s="69"/>
      <c r="G137" s="69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15380</v>
      </c>
      <c r="G138" s="28">
        <f>SUM(C138:F138)</f>
        <v>15380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146</v>
      </c>
      <c r="G139" s="28">
        <f>SUM(C139:F139)</f>
        <v>146</v>
      </c>
      <c r="H139" s="7"/>
      <c r="I139" s="7"/>
    </row>
    <row r="140" spans="2:9" x14ac:dyDescent="0.25">
      <c r="B140" s="70"/>
      <c r="C140" s="70"/>
      <c r="D140" s="70"/>
      <c r="E140" s="70"/>
      <c r="F140" s="70"/>
      <c r="G140" s="70"/>
      <c r="H140" s="70"/>
      <c r="I140" s="7"/>
    </row>
    <row r="141" spans="2:9" x14ac:dyDescent="0.25">
      <c r="B141" s="70"/>
      <c r="C141" s="70"/>
      <c r="D141" s="70"/>
      <c r="E141" s="70"/>
      <c r="F141" s="70"/>
      <c r="G141" s="70"/>
      <c r="H141" s="70"/>
    </row>
    <row r="142" spans="2:9" ht="21" x14ac:dyDescent="0.35">
      <c r="B142" s="79" t="s">
        <v>78</v>
      </c>
      <c r="C142" s="80"/>
      <c r="D142" s="80"/>
      <c r="E142" s="80"/>
      <c r="F142" s="80"/>
      <c r="G142" s="81"/>
    </row>
    <row r="143" spans="2:9" x14ac:dyDescent="0.25">
      <c r="B143" s="75" t="s">
        <v>79</v>
      </c>
      <c r="C143" s="76"/>
      <c r="D143" s="76"/>
      <c r="E143" s="76"/>
      <c r="F143" s="76"/>
      <c r="G143" s="77"/>
    </row>
    <row r="144" spans="2:9" x14ac:dyDescent="0.25">
      <c r="B144" s="70"/>
      <c r="C144" s="70"/>
      <c r="D144" s="70"/>
      <c r="E144" s="70"/>
      <c r="F144" s="70"/>
      <c r="G144" s="70"/>
      <c r="H144" s="70"/>
    </row>
    <row r="145" spans="2:8" x14ac:dyDescent="0.25">
      <c r="B145" s="74" t="s">
        <v>80</v>
      </c>
      <c r="C145" s="74"/>
      <c r="D145" s="74"/>
      <c r="E145" s="74"/>
      <c r="F145" s="74"/>
      <c r="G145" s="74"/>
    </row>
    <row r="146" spans="2:8" x14ac:dyDescent="0.25">
      <c r="B146" s="14" t="s">
        <v>81</v>
      </c>
      <c r="C146" s="28">
        <v>0</v>
      </c>
      <c r="D146" s="28">
        <v>939</v>
      </c>
      <c r="E146" s="28">
        <v>0</v>
      </c>
      <c r="F146" s="28">
        <v>140</v>
      </c>
      <c r="G146" s="28">
        <f>SUM(C146:F146)</f>
        <v>1079</v>
      </c>
    </row>
    <row r="147" spans="2:8" x14ac:dyDescent="0.25">
      <c r="B147" s="14" t="s">
        <v>82</v>
      </c>
      <c r="C147" s="28">
        <v>0</v>
      </c>
      <c r="D147" s="28">
        <v>20.565999999999999</v>
      </c>
      <c r="E147" s="28">
        <v>0</v>
      </c>
      <c r="F147" s="28">
        <v>1.7809999999999999</v>
      </c>
      <c r="G147" s="11">
        <f>SUM(C147:F147)</f>
        <v>22.346999999999998</v>
      </c>
    </row>
    <row r="148" spans="2:8" x14ac:dyDescent="0.25">
      <c r="B148" s="70"/>
      <c r="C148" s="70"/>
      <c r="D148" s="70"/>
      <c r="E148" s="70"/>
      <c r="F148" s="70"/>
      <c r="G148" s="70"/>
      <c r="H148" s="70"/>
    </row>
    <row r="149" spans="2:8" x14ac:dyDescent="0.25">
      <c r="B149" s="74" t="s">
        <v>83</v>
      </c>
      <c r="C149" s="74"/>
      <c r="D149" s="74"/>
      <c r="E149" s="74"/>
      <c r="F149" s="74"/>
      <c r="G149" s="74"/>
    </row>
    <row r="150" spans="2:8" x14ac:dyDescent="0.25">
      <c r="B150" s="14" t="s">
        <v>84</v>
      </c>
      <c r="C150" s="28">
        <v>0</v>
      </c>
      <c r="D150" s="37">
        <v>0</v>
      </c>
      <c r="E150" s="28">
        <v>0</v>
      </c>
      <c r="F150" s="28">
        <v>0</v>
      </c>
      <c r="G150" s="28">
        <f>SUM(C150:F150)</f>
        <v>0</v>
      </c>
      <c r="H150"/>
    </row>
    <row r="151" spans="2:8" x14ac:dyDescent="0.25">
      <c r="B151" s="14" t="s">
        <v>85</v>
      </c>
      <c r="C151" s="28">
        <v>0</v>
      </c>
      <c r="D151" s="37">
        <v>0.08</v>
      </c>
      <c r="E151" s="28">
        <v>0</v>
      </c>
      <c r="F151" s="28">
        <v>0</v>
      </c>
      <c r="G151" s="11">
        <f>SUM(C151:F151)</f>
        <v>0.08</v>
      </c>
      <c r="H151"/>
    </row>
    <row r="152" spans="2:8" x14ac:dyDescent="0.25">
      <c r="B152" s="70"/>
      <c r="C152" s="70"/>
      <c r="D152" s="70"/>
      <c r="E152" s="70"/>
      <c r="F152" s="70"/>
      <c r="G152" s="70"/>
      <c r="H152" s="70"/>
    </row>
    <row r="153" spans="2:8" x14ac:dyDescent="0.25">
      <c r="B153" s="74" t="s">
        <v>86</v>
      </c>
      <c r="C153" s="74"/>
      <c r="D153" s="74"/>
      <c r="E153" s="74"/>
      <c r="F153" s="74"/>
      <c r="G153" s="74"/>
    </row>
    <row r="154" spans="2:8" x14ac:dyDescent="0.25">
      <c r="B154" s="14" t="s">
        <v>87</v>
      </c>
      <c r="C154" s="14">
        <v>0</v>
      </c>
      <c r="D154" s="28">
        <v>342</v>
      </c>
      <c r="E154" s="36">
        <v>0</v>
      </c>
      <c r="F154" s="35">
        <v>0</v>
      </c>
      <c r="G154" s="28">
        <f>SUM(C154:F154)</f>
        <v>342</v>
      </c>
      <c r="H154"/>
    </row>
    <row r="155" spans="2:8" x14ac:dyDescent="0.25">
      <c r="B155" s="14" t="s">
        <v>88</v>
      </c>
      <c r="C155" s="11">
        <v>0</v>
      </c>
      <c r="D155" s="28">
        <v>4.0091739999999998</v>
      </c>
      <c r="E155" s="36">
        <v>0</v>
      </c>
      <c r="F155" s="35">
        <v>0</v>
      </c>
      <c r="G155" s="11">
        <f>SUM(C155:F155)</f>
        <v>4.0091739999999998</v>
      </c>
      <c r="H155"/>
    </row>
    <row r="156" spans="2:8" x14ac:dyDescent="0.25">
      <c r="B156" s="70"/>
      <c r="C156" s="70"/>
      <c r="D156" s="70"/>
      <c r="E156" s="70"/>
      <c r="F156" s="70"/>
      <c r="G156" s="70"/>
      <c r="H156" s="70"/>
    </row>
    <row r="157" spans="2:8" x14ac:dyDescent="0.25">
      <c r="B157" s="71" t="s">
        <v>89</v>
      </c>
      <c r="C157" s="72"/>
      <c r="D157" s="72"/>
      <c r="E157" s="72"/>
      <c r="F157" s="72"/>
      <c r="G157" s="73"/>
    </row>
    <row r="158" spans="2:8" x14ac:dyDescent="0.25">
      <c r="B158" s="18" t="s">
        <v>90</v>
      </c>
      <c r="C158" s="19">
        <v>0</v>
      </c>
      <c r="D158" s="46">
        <v>1238</v>
      </c>
      <c r="E158" s="19">
        <v>0</v>
      </c>
      <c r="F158" s="19">
        <f>F146+F154</f>
        <v>140</v>
      </c>
      <c r="G158" s="19">
        <f>SUM(C158:F158)</f>
        <v>1378</v>
      </c>
    </row>
    <row r="159" spans="2:8" x14ac:dyDescent="0.25">
      <c r="B159" s="18" t="s">
        <v>91</v>
      </c>
      <c r="C159" s="19">
        <v>0</v>
      </c>
      <c r="D159" s="46">
        <v>26.524000000000001</v>
      </c>
      <c r="E159" s="19">
        <v>0</v>
      </c>
      <c r="F159" s="19">
        <f>F147+F155</f>
        <v>1.7809999999999999</v>
      </c>
      <c r="G159" s="22">
        <f>SUM(C159:F159)</f>
        <v>28.305</v>
      </c>
    </row>
    <row r="160" spans="2:8" x14ac:dyDescent="0.25">
      <c r="B160" s="70"/>
      <c r="C160" s="70"/>
      <c r="D160" s="70"/>
      <c r="E160" s="70"/>
      <c r="F160" s="70"/>
      <c r="G160" s="70"/>
      <c r="H160" s="70"/>
    </row>
    <row r="161" spans="2:8" x14ac:dyDescent="0.25">
      <c r="B161" s="69" t="s">
        <v>92</v>
      </c>
      <c r="C161" s="69"/>
      <c r="D161" s="69"/>
      <c r="E161" s="69"/>
      <c r="F161" s="69"/>
      <c r="G161" s="69"/>
    </row>
    <row r="162" spans="2:8" x14ac:dyDescent="0.25">
      <c r="B162" s="14" t="s">
        <v>87</v>
      </c>
      <c r="C162" s="28">
        <v>2909</v>
      </c>
      <c r="D162" s="28">
        <v>32899</v>
      </c>
      <c r="E162" s="51">
        <v>3760</v>
      </c>
      <c r="F162" s="28">
        <v>18762</v>
      </c>
      <c r="G162" s="28">
        <f>SUM(C162:F162)</f>
        <v>58330</v>
      </c>
    </row>
    <row r="163" spans="2:8" x14ac:dyDescent="0.25">
      <c r="B163" s="14" t="s">
        <v>88</v>
      </c>
      <c r="C163" s="28">
        <f>66490878/1000000</f>
        <v>66.490877999999995</v>
      </c>
      <c r="D163" s="28">
        <v>141.35521299999999</v>
      </c>
      <c r="E163" s="28">
        <f>62483832/1000000</f>
        <v>62.483832</v>
      </c>
      <c r="F163" s="28">
        <v>111.682925</v>
      </c>
      <c r="G163" s="11">
        <f>SUM(C163:F163)</f>
        <v>382.01284800000002</v>
      </c>
    </row>
    <row r="164" spans="2:8" x14ac:dyDescent="0.25">
      <c r="B164" s="70"/>
      <c r="C164" s="70"/>
      <c r="D164" s="70"/>
      <c r="E164" s="70"/>
      <c r="F164" s="70"/>
      <c r="G164" s="70"/>
    </row>
    <row r="165" spans="2:8" x14ac:dyDescent="0.25">
      <c r="B165" s="75" t="s">
        <v>93</v>
      </c>
      <c r="C165" s="76"/>
      <c r="D165" s="76"/>
      <c r="E165" s="76"/>
      <c r="F165" s="76"/>
      <c r="G165" s="77"/>
    </row>
    <row r="166" spans="2:8" x14ac:dyDescent="0.25">
      <c r="B166" s="71" t="s">
        <v>94</v>
      </c>
      <c r="C166" s="72"/>
      <c r="D166" s="72"/>
      <c r="E166" s="72"/>
      <c r="F166" s="72"/>
      <c r="G166" s="73"/>
    </row>
    <row r="167" spans="2:8" x14ac:dyDescent="0.25">
      <c r="B167" s="14" t="s">
        <v>95</v>
      </c>
      <c r="C167" s="28">
        <v>388</v>
      </c>
      <c r="D167" s="28">
        <v>2886</v>
      </c>
      <c r="E167" s="52">
        <v>290</v>
      </c>
      <c r="F167" s="28">
        <v>507</v>
      </c>
      <c r="G167" s="28">
        <f>SUM(C167:F167)</f>
        <v>4071</v>
      </c>
    </row>
    <row r="168" spans="2:8" x14ac:dyDescent="0.25">
      <c r="B168" s="14" t="s">
        <v>96</v>
      </c>
      <c r="C168" s="28">
        <f>9700000/1000000</f>
        <v>9.6999999999999993</v>
      </c>
      <c r="D168" s="28">
        <v>63.398000000000003</v>
      </c>
      <c r="E168" s="28">
        <f>5570000/1000000</f>
        <v>5.57</v>
      </c>
      <c r="F168" s="28">
        <v>18.12</v>
      </c>
      <c r="G168" s="11">
        <f>SUM(C168:F168)</f>
        <v>96.788000000000011</v>
      </c>
    </row>
    <row r="169" spans="2:8" x14ac:dyDescent="0.25">
      <c r="B169" s="70"/>
      <c r="C169" s="70"/>
      <c r="D169" s="70"/>
      <c r="E169" s="70"/>
      <c r="F169" s="70"/>
      <c r="G169" s="70"/>
    </row>
    <row r="170" spans="2:8" x14ac:dyDescent="0.25">
      <c r="B170" s="71" t="s">
        <v>97</v>
      </c>
      <c r="C170" s="72"/>
      <c r="D170" s="72"/>
      <c r="E170" s="72"/>
      <c r="F170" s="72"/>
      <c r="G170" s="73"/>
    </row>
    <row r="171" spans="2:8" x14ac:dyDescent="0.25">
      <c r="B171" s="14" t="s">
        <v>98</v>
      </c>
      <c r="C171" s="28">
        <v>1379</v>
      </c>
      <c r="D171" s="28">
        <v>701</v>
      </c>
      <c r="E171" s="52">
        <v>193</v>
      </c>
      <c r="F171" s="28">
        <v>335</v>
      </c>
      <c r="G171" s="28">
        <f>SUM(C171:F171)</f>
        <v>2608</v>
      </c>
    </row>
    <row r="172" spans="2:8" x14ac:dyDescent="0.25">
      <c r="B172" s="14" t="s">
        <v>96</v>
      </c>
      <c r="C172" s="28">
        <f>30338000/1000000</f>
        <v>30.338000000000001</v>
      </c>
      <c r="D172" s="28">
        <v>14.721</v>
      </c>
      <c r="E172" s="28">
        <f>4825000/1000000</f>
        <v>4.8250000000000002</v>
      </c>
      <c r="F172" s="28">
        <v>7.319</v>
      </c>
      <c r="G172" s="11">
        <f>SUM(C172:F172)</f>
        <v>57.203000000000003</v>
      </c>
    </row>
    <row r="173" spans="2:8" x14ac:dyDescent="0.25">
      <c r="B173" s="70"/>
      <c r="C173" s="70"/>
      <c r="D173" s="70"/>
      <c r="E173" s="70"/>
      <c r="F173" s="70"/>
      <c r="G173" s="70"/>
      <c r="H173" s="70"/>
    </row>
    <row r="174" spans="2:8" x14ac:dyDescent="0.25">
      <c r="B174" s="71" t="s">
        <v>99</v>
      </c>
      <c r="C174" s="72"/>
      <c r="D174" s="72"/>
      <c r="E174" s="72"/>
      <c r="F174" s="72"/>
      <c r="G174" s="73"/>
    </row>
    <row r="175" spans="2:8" x14ac:dyDescent="0.25">
      <c r="B175" s="14" t="s">
        <v>98</v>
      </c>
      <c r="C175" s="28">
        <v>267</v>
      </c>
      <c r="D175" s="28">
        <v>245</v>
      </c>
      <c r="E175" s="52">
        <v>175</v>
      </c>
      <c r="F175" s="28">
        <v>46</v>
      </c>
      <c r="G175" s="28">
        <f>SUM(C175:F175)</f>
        <v>733</v>
      </c>
    </row>
    <row r="176" spans="2:8" x14ac:dyDescent="0.25">
      <c r="B176" s="14" t="s">
        <v>96</v>
      </c>
      <c r="C176" s="28">
        <f>18690000/1000000</f>
        <v>18.690000000000001</v>
      </c>
      <c r="D176" s="28">
        <v>25.47</v>
      </c>
      <c r="E176" s="28">
        <f>9820183/1000000</f>
        <v>9.8201830000000001</v>
      </c>
      <c r="F176" s="28">
        <v>4.72</v>
      </c>
      <c r="G176" s="11">
        <f>SUM(C176:F176)</f>
        <v>58.700182999999996</v>
      </c>
    </row>
    <row r="177" spans="2:8" x14ac:dyDescent="0.25">
      <c r="B177" s="70"/>
      <c r="C177" s="70"/>
      <c r="D177" s="70"/>
      <c r="E177" s="70"/>
      <c r="F177" s="70"/>
      <c r="G177" s="70"/>
      <c r="H177" s="70"/>
    </row>
    <row r="178" spans="2:8" x14ac:dyDescent="0.25">
      <c r="B178" s="71" t="s">
        <v>100</v>
      </c>
      <c r="C178" s="72"/>
      <c r="D178" s="72"/>
      <c r="E178" s="72"/>
      <c r="F178" s="72"/>
      <c r="G178" s="73"/>
    </row>
    <row r="179" spans="2:8" x14ac:dyDescent="0.25">
      <c r="B179" s="14" t="s">
        <v>98</v>
      </c>
      <c r="C179" s="28">
        <v>409</v>
      </c>
      <c r="D179" s="28">
        <v>169874</v>
      </c>
      <c r="E179" s="28">
        <v>0</v>
      </c>
      <c r="F179" s="28">
        <v>0</v>
      </c>
      <c r="G179" s="28">
        <f>SUM(C179:F179)</f>
        <v>170283</v>
      </c>
    </row>
    <row r="180" spans="2:8" x14ac:dyDescent="0.25">
      <c r="B180" s="14" t="s">
        <v>96</v>
      </c>
      <c r="C180" s="28">
        <f>12600000/1000000</f>
        <v>12.6</v>
      </c>
      <c r="D180" s="28">
        <v>2646.7914339732301</v>
      </c>
      <c r="E180" s="28">
        <v>0</v>
      </c>
      <c r="F180" s="28">
        <v>0</v>
      </c>
      <c r="G180" s="11">
        <f>SUM(C180:F180)</f>
        <v>2659.3914339732301</v>
      </c>
    </row>
    <row r="181" spans="2:8" x14ac:dyDescent="0.25">
      <c r="B181" s="70"/>
      <c r="C181" s="70"/>
      <c r="D181" s="70"/>
      <c r="E181" s="70"/>
      <c r="F181" s="70"/>
      <c r="G181" s="70"/>
      <c r="H181" s="70"/>
    </row>
    <row r="182" spans="2:8" x14ac:dyDescent="0.25">
      <c r="B182" s="69" t="s">
        <v>101</v>
      </c>
      <c r="C182" s="69"/>
      <c r="D182" s="69"/>
      <c r="E182" s="69"/>
      <c r="F182" s="69"/>
      <c r="G182" s="69"/>
    </row>
    <row r="183" spans="2:8" x14ac:dyDescent="0.25">
      <c r="B183" s="18" t="s">
        <v>102</v>
      </c>
      <c r="C183" s="19">
        <f>+C179+C175+C171+C167</f>
        <v>2443</v>
      </c>
      <c r="D183" s="46">
        <v>173706</v>
      </c>
      <c r="E183" s="19">
        <v>658</v>
      </c>
      <c r="F183" s="19">
        <f>+F179+F175+F171+F167</f>
        <v>888</v>
      </c>
      <c r="G183" s="19">
        <f>SUM(C183:F183)</f>
        <v>177695</v>
      </c>
    </row>
    <row r="184" spans="2:8" x14ac:dyDescent="0.25">
      <c r="B184" s="18" t="s">
        <v>103</v>
      </c>
      <c r="C184" s="19">
        <f>+C180+C176+C172+C168</f>
        <v>71.328000000000003</v>
      </c>
      <c r="D184" s="46">
        <v>2750.3804339732301</v>
      </c>
      <c r="E184" s="19">
        <v>20.215183</v>
      </c>
      <c r="F184" s="19">
        <f>+F180+F176+F172+F168</f>
        <v>30.158999999999999</v>
      </c>
      <c r="G184" s="22">
        <f>SUM(C184:F184)</f>
        <v>2872.08261697323</v>
      </c>
    </row>
    <row r="185" spans="2:8" x14ac:dyDescent="0.25">
      <c r="B185" s="70"/>
      <c r="C185" s="70"/>
      <c r="D185" s="70"/>
      <c r="E185" s="70"/>
      <c r="F185" s="70"/>
      <c r="G185" s="70"/>
      <c r="H185" s="70"/>
    </row>
    <row r="186" spans="2:8" x14ac:dyDescent="0.25">
      <c r="B186" s="69" t="s">
        <v>104</v>
      </c>
      <c r="C186" s="69"/>
      <c r="D186" s="69"/>
      <c r="E186" s="69"/>
      <c r="F186" s="69"/>
      <c r="G186" s="69"/>
    </row>
    <row r="187" spans="2:8" x14ac:dyDescent="0.25">
      <c r="B187" s="14" t="s">
        <v>105</v>
      </c>
      <c r="C187" s="28">
        <v>2877</v>
      </c>
      <c r="D187" s="28">
        <v>740</v>
      </c>
      <c r="E187" s="28">
        <v>77</v>
      </c>
      <c r="F187" s="28">
        <v>19650</v>
      </c>
      <c r="G187" s="28">
        <f>SUM(C187:F187)</f>
        <v>23344</v>
      </c>
    </row>
    <row r="188" spans="2:8" x14ac:dyDescent="0.25">
      <c r="B188" s="14" t="s">
        <v>106</v>
      </c>
      <c r="C188" s="28">
        <f>24700191/1000000</f>
        <v>24.700191</v>
      </c>
      <c r="D188" s="28">
        <v>107.40235899999999</v>
      </c>
      <c r="E188" s="28">
        <f>3080000/1000000</f>
        <v>3.08</v>
      </c>
      <c r="F188" s="28">
        <v>141.84192499999997</v>
      </c>
      <c r="G188" s="11">
        <f>SUM(C188:F188)</f>
        <v>277.02447499999994</v>
      </c>
    </row>
    <row r="189" spans="2:8" x14ac:dyDescent="0.25">
      <c r="B189" s="70"/>
      <c r="C189" s="70"/>
      <c r="D189" s="70"/>
      <c r="E189" s="70"/>
      <c r="F189" s="70"/>
      <c r="G189" s="70"/>
      <c r="H189" s="70"/>
    </row>
    <row r="190" spans="2:8" x14ac:dyDescent="0.25">
      <c r="B190" s="69" t="s">
        <v>107</v>
      </c>
      <c r="C190" s="69"/>
      <c r="D190" s="69"/>
      <c r="E190" s="69"/>
      <c r="F190" s="69"/>
      <c r="G190" s="69"/>
    </row>
    <row r="191" spans="2:8" x14ac:dyDescent="0.25">
      <c r="B191" s="18" t="s">
        <v>108</v>
      </c>
      <c r="C191" s="19">
        <f>C187+C162+C183</f>
        <v>8229</v>
      </c>
      <c r="D191" s="46">
        <v>208630</v>
      </c>
      <c r="E191" s="19">
        <v>4495</v>
      </c>
      <c r="F191" s="19">
        <f>F158+F162+F183+F187</f>
        <v>39440</v>
      </c>
      <c r="G191" s="19">
        <f>SUM(C191:F191)</f>
        <v>260794</v>
      </c>
    </row>
    <row r="192" spans="2:8" x14ac:dyDescent="0.25">
      <c r="B192" s="18" t="s">
        <v>109</v>
      </c>
      <c r="C192" s="19">
        <f>C188+C163+C184</f>
        <v>162.519069</v>
      </c>
      <c r="D192" s="46">
        <v>3023.7931799732301</v>
      </c>
      <c r="E192" s="19">
        <v>85.779015000000001</v>
      </c>
      <c r="F192" s="19">
        <f>F159+F184+F163+F188</f>
        <v>285.46484999999996</v>
      </c>
      <c r="G192" s="22">
        <f>SUM(C192:F192)</f>
        <v>3557.5561139732299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49:G149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73:H173"/>
    <mergeCell ref="B152:H152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86:G186"/>
    <mergeCell ref="B189:H189"/>
    <mergeCell ref="B190:G190"/>
    <mergeCell ref="B174:G174"/>
    <mergeCell ref="B177:H177"/>
    <mergeCell ref="B178:G178"/>
    <mergeCell ref="B181:H181"/>
    <mergeCell ref="B182:G182"/>
    <mergeCell ref="B185:H18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4791-7349-427C-8F60-F701580B243E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90" t="s">
        <v>1</v>
      </c>
      <c r="C2" s="91"/>
      <c r="D2" s="91"/>
      <c r="E2" s="91"/>
      <c r="F2" s="92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79" t="s">
        <v>7</v>
      </c>
      <c r="B4" s="80"/>
      <c r="C4" s="80"/>
      <c r="D4" s="80"/>
      <c r="E4" s="80"/>
      <c r="F4" s="81"/>
    </row>
    <row r="5" spans="1:6" x14ac:dyDescent="0.25">
      <c r="A5" s="75" t="s">
        <v>8</v>
      </c>
      <c r="B5" s="76"/>
      <c r="C5" s="76"/>
      <c r="D5" s="76"/>
      <c r="E5" s="76"/>
      <c r="F5" s="77"/>
    </row>
    <row r="6" spans="1:6" x14ac:dyDescent="0.25">
      <c r="A6" s="4" t="s">
        <v>9</v>
      </c>
      <c r="B6" s="12">
        <v>55113</v>
      </c>
      <c r="C6" s="12">
        <v>8175</v>
      </c>
      <c r="D6" s="12">
        <v>8482</v>
      </c>
      <c r="E6" s="12">
        <v>10058</v>
      </c>
      <c r="F6" s="12">
        <f>+E6+D6+C6+B6</f>
        <v>81828</v>
      </c>
    </row>
    <row r="7" spans="1:6" x14ac:dyDescent="0.25">
      <c r="A7" s="14" t="s">
        <v>10</v>
      </c>
      <c r="B7" s="12">
        <v>535</v>
      </c>
      <c r="C7" s="12">
        <v>252</v>
      </c>
      <c r="D7" s="12">
        <v>25</v>
      </c>
      <c r="E7" s="12">
        <v>148</v>
      </c>
      <c r="F7" s="12">
        <f>+E7+D7+C7+B7</f>
        <v>960</v>
      </c>
    </row>
    <row r="8" spans="1:6" x14ac:dyDescent="0.25">
      <c r="A8" s="18" t="s">
        <v>11</v>
      </c>
      <c r="B8" s="25">
        <f>SUM(B6:B7)</f>
        <v>55648</v>
      </c>
      <c r="C8" s="25">
        <f>+C6+C7</f>
        <v>8427</v>
      </c>
      <c r="D8" s="25">
        <f>SUM(D6:D7)</f>
        <v>8507</v>
      </c>
      <c r="E8" s="25">
        <v>10206</v>
      </c>
      <c r="F8" s="25">
        <f>+E8+D8+C8+B8</f>
        <v>82788</v>
      </c>
    </row>
    <row r="9" spans="1:6" x14ac:dyDescent="0.25">
      <c r="A9" s="70"/>
      <c r="B9" s="70"/>
      <c r="C9" s="70"/>
      <c r="D9" s="70"/>
      <c r="E9" s="70"/>
      <c r="F9" s="70"/>
    </row>
    <row r="10" spans="1:6" x14ac:dyDescent="0.25">
      <c r="A10" s="75" t="s">
        <v>12</v>
      </c>
      <c r="B10" s="76"/>
      <c r="C10" s="76"/>
      <c r="D10" s="76"/>
      <c r="E10" s="76"/>
      <c r="F10" s="77"/>
    </row>
    <row r="11" spans="1:6" x14ac:dyDescent="0.25">
      <c r="A11" s="71" t="s">
        <v>13</v>
      </c>
      <c r="B11" s="72"/>
      <c r="C11" s="72"/>
      <c r="D11" s="72"/>
      <c r="E11" s="72"/>
      <c r="F11" s="73"/>
    </row>
    <row r="12" spans="1:6" x14ac:dyDescent="0.25">
      <c r="A12" s="16" t="s">
        <v>14</v>
      </c>
      <c r="B12" s="17">
        <v>814045</v>
      </c>
      <c r="C12" s="17">
        <v>113842</v>
      </c>
      <c r="D12" s="17">
        <v>45151</v>
      </c>
      <c r="E12" s="17">
        <v>0</v>
      </c>
      <c r="F12" s="17">
        <f>SUM(B12:E12)</f>
        <v>973038</v>
      </c>
    </row>
    <row r="13" spans="1:6" x14ac:dyDescent="0.25">
      <c r="A13" s="16" t="s">
        <v>15</v>
      </c>
      <c r="B13" s="17">
        <v>2356971</v>
      </c>
      <c r="C13" s="17">
        <v>554973</v>
      </c>
      <c r="D13" s="17">
        <v>230825</v>
      </c>
      <c r="E13" s="17">
        <v>0</v>
      </c>
      <c r="F13" s="17">
        <f>SUM(B13:E13)</f>
        <v>3142769</v>
      </c>
    </row>
    <row r="14" spans="1:6" x14ac:dyDescent="0.25">
      <c r="A14" s="18" t="s">
        <v>16</v>
      </c>
      <c r="B14" s="19">
        <f>B13+B12</f>
        <v>3171016</v>
      </c>
      <c r="C14" s="19">
        <v>997201</v>
      </c>
      <c r="D14" s="19">
        <f>SUM(D12:D13)</f>
        <v>275976</v>
      </c>
      <c r="E14" s="19">
        <v>147865</v>
      </c>
      <c r="F14" s="19">
        <f>SUM(B14:E14)</f>
        <v>4592058</v>
      </c>
    </row>
    <row r="15" spans="1:6" x14ac:dyDescent="0.25">
      <c r="A15" s="18" t="s">
        <v>17</v>
      </c>
      <c r="B15" s="19">
        <v>467331</v>
      </c>
      <c r="C15" s="19">
        <v>158176</v>
      </c>
      <c r="D15" s="19">
        <v>3193</v>
      </c>
      <c r="E15" s="19">
        <v>358985</v>
      </c>
      <c r="F15" s="19">
        <f>SUM(B15:E15)</f>
        <v>987685</v>
      </c>
    </row>
    <row r="16" spans="1:6" x14ac:dyDescent="0.25">
      <c r="A16" s="18" t="s">
        <v>18</v>
      </c>
      <c r="B16" s="19">
        <f>B15+B14</f>
        <v>3638347</v>
      </c>
      <c r="C16" s="19">
        <f>+C14+C15</f>
        <v>1155377</v>
      </c>
      <c r="D16" s="19">
        <f>SUM(D14:D15)</f>
        <v>279169</v>
      </c>
      <c r="E16" s="19">
        <v>506850</v>
      </c>
      <c r="F16" s="19">
        <f>SUM(B16:E16)</f>
        <v>5579743</v>
      </c>
    </row>
    <row r="17" spans="1:7" x14ac:dyDescent="0.25">
      <c r="A17" s="70"/>
      <c r="B17" s="70"/>
      <c r="C17" s="70"/>
      <c r="D17" s="70"/>
      <c r="E17" s="70"/>
      <c r="F17" s="70"/>
    </row>
    <row r="18" spans="1:7" x14ac:dyDescent="0.25">
      <c r="A18" s="71" t="s">
        <v>19</v>
      </c>
      <c r="B18" s="72"/>
      <c r="C18" s="72"/>
      <c r="D18" s="72"/>
      <c r="E18" s="72"/>
      <c r="F18" s="73"/>
    </row>
    <row r="19" spans="1:7" x14ac:dyDescent="0.25">
      <c r="A19" s="14" t="s">
        <v>20</v>
      </c>
      <c r="B19" s="28">
        <v>3519</v>
      </c>
      <c r="C19" s="28">
        <v>4</v>
      </c>
      <c r="D19" s="28">
        <v>0</v>
      </c>
      <c r="E19" s="28">
        <v>0</v>
      </c>
      <c r="F19" s="28">
        <f>SUM(B19:E19)</f>
        <v>3523</v>
      </c>
    </row>
    <row r="20" spans="1:7" x14ac:dyDescent="0.25">
      <c r="A20" s="93"/>
      <c r="B20" s="93"/>
      <c r="C20" s="93"/>
      <c r="D20" s="93"/>
      <c r="E20" s="93"/>
      <c r="F20" s="93"/>
    </row>
    <row r="21" spans="1:7" x14ac:dyDescent="0.25">
      <c r="A21" s="18" t="s">
        <v>21</v>
      </c>
      <c r="B21" s="19">
        <f>+B19+B16</f>
        <v>3641866</v>
      </c>
      <c r="C21" s="19">
        <v>1155381</v>
      </c>
      <c r="D21" s="19">
        <v>279169</v>
      </c>
      <c r="E21" s="19">
        <f>E16</f>
        <v>506850</v>
      </c>
      <c r="F21" s="19">
        <f>SUM(B21:E21)</f>
        <v>5583266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401567</v>
      </c>
      <c r="C24" s="19">
        <v>198714</v>
      </c>
      <c r="D24" s="19">
        <v>138332</v>
      </c>
      <c r="E24" s="19">
        <v>681800</v>
      </c>
      <c r="F24" s="19">
        <f>SUM(B24:E24)</f>
        <v>1420413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4043433</v>
      </c>
      <c r="C27" s="19">
        <v>1354095</v>
      </c>
      <c r="D27" s="19">
        <f>+D21+D24</f>
        <v>417501</v>
      </c>
      <c r="E27" s="19">
        <f>+E24+E21</f>
        <v>1188650</v>
      </c>
      <c r="F27" s="19">
        <f>SUM(B27:E27)</f>
        <v>7003679</v>
      </c>
    </row>
    <row r="28" spans="1:7" x14ac:dyDescent="0.25">
      <c r="A28" s="70"/>
      <c r="B28" s="70"/>
      <c r="C28" s="70"/>
      <c r="D28" s="70"/>
      <c r="E28" s="70"/>
      <c r="F28" s="70"/>
      <c r="G28" s="70"/>
    </row>
    <row r="29" spans="1:7" x14ac:dyDescent="0.25">
      <c r="A29" s="75" t="s">
        <v>26</v>
      </c>
      <c r="B29" s="76"/>
      <c r="C29" s="76"/>
      <c r="D29" s="76"/>
      <c r="E29" s="76"/>
      <c r="F29" s="77"/>
    </row>
    <row r="30" spans="1:7" x14ac:dyDescent="0.25">
      <c r="A30" s="14" t="s">
        <v>27</v>
      </c>
      <c r="B30" s="28">
        <v>1261459</v>
      </c>
      <c r="C30" s="28">
        <v>139306</v>
      </c>
      <c r="D30" s="28">
        <v>77363</v>
      </c>
      <c r="E30" s="28">
        <v>212577</v>
      </c>
      <c r="F30" s="28">
        <f>SUM(B30:E30)</f>
        <v>1690705</v>
      </c>
    </row>
    <row r="31" spans="1:7" x14ac:dyDescent="0.25">
      <c r="A31" s="70"/>
      <c r="B31" s="70"/>
      <c r="C31" s="70"/>
      <c r="D31" s="70"/>
      <c r="E31" s="70"/>
      <c r="F31" s="70"/>
      <c r="G31" s="70"/>
    </row>
    <row r="32" spans="1:7" x14ac:dyDescent="0.25">
      <c r="A32" s="75" t="s">
        <v>28</v>
      </c>
      <c r="B32" s="76"/>
      <c r="C32" s="76"/>
      <c r="D32" s="76"/>
      <c r="E32" s="76"/>
      <c r="F32" s="77"/>
    </row>
    <row r="33" spans="1:8" x14ac:dyDescent="0.25">
      <c r="A33" s="14" t="s">
        <v>29</v>
      </c>
      <c r="B33" s="28">
        <v>3972635424030</v>
      </c>
      <c r="C33" s="28">
        <v>639906921244</v>
      </c>
      <c r="D33" s="28">
        <v>269462129042</v>
      </c>
      <c r="E33" s="28">
        <v>484204487617</v>
      </c>
      <c r="F33" s="28">
        <f>SUM(B33:E33)</f>
        <v>5366208961933</v>
      </c>
    </row>
    <row r="34" spans="1:8" x14ac:dyDescent="0.25">
      <c r="A34" s="14" t="s">
        <v>30</v>
      </c>
      <c r="B34" s="28">
        <v>167701309743</v>
      </c>
      <c r="C34" s="28">
        <v>69802075798</v>
      </c>
      <c r="D34" s="28">
        <v>41227406600</v>
      </c>
      <c r="E34" s="28">
        <v>200389505622</v>
      </c>
      <c r="F34" s="28">
        <f>SUM(B34:E34)</f>
        <v>479120297763</v>
      </c>
    </row>
    <row r="35" spans="1:8" x14ac:dyDescent="0.25">
      <c r="A35" s="41" t="s">
        <v>31</v>
      </c>
      <c r="B35" s="42">
        <f>SUM(B33:B34)</f>
        <v>4140336733773</v>
      </c>
      <c r="C35" s="42">
        <f>+C34+C33</f>
        <v>709708997042</v>
      </c>
      <c r="D35" s="42">
        <v>310689535642</v>
      </c>
      <c r="E35" s="42">
        <v>684593993239</v>
      </c>
      <c r="F35" s="42">
        <f>SUM(B35:E35)</f>
        <v>5845329259696</v>
      </c>
    </row>
    <row r="36" spans="1:8" x14ac:dyDescent="0.25">
      <c r="A36" s="94" t="s">
        <v>32</v>
      </c>
      <c r="B36" s="94"/>
      <c r="C36" s="94"/>
      <c r="D36" s="94"/>
      <c r="E36" s="94"/>
      <c r="F36" s="94"/>
      <c r="G36" s="94"/>
    </row>
    <row r="37" spans="1:8" x14ac:dyDescent="0.25">
      <c r="A37" s="40"/>
      <c r="B37" s="40"/>
      <c r="C37" s="40"/>
      <c r="D37" s="40"/>
      <c r="E37" s="40"/>
      <c r="F37" s="40"/>
      <c r="G37" s="40"/>
    </row>
    <row r="38" spans="1:8" ht="21" x14ac:dyDescent="0.35">
      <c r="A38" s="79" t="s">
        <v>33</v>
      </c>
      <c r="B38" s="80"/>
      <c r="C38" s="80"/>
      <c r="D38" s="80"/>
      <c r="E38" s="80"/>
      <c r="F38" s="81"/>
    </row>
    <row r="39" spans="1:8" x14ac:dyDescent="0.25">
      <c r="A39" s="75" t="s">
        <v>34</v>
      </c>
      <c r="B39" s="76"/>
      <c r="C39" s="76"/>
      <c r="D39" s="76"/>
      <c r="E39" s="76"/>
      <c r="F39" s="77"/>
    </row>
    <row r="40" spans="1:8" x14ac:dyDescent="0.25">
      <c r="A40" s="14" t="s">
        <v>35</v>
      </c>
      <c r="B40" s="28">
        <v>738270</v>
      </c>
      <c r="C40" s="28">
        <v>121154</v>
      </c>
      <c r="D40" s="28">
        <v>56171</v>
      </c>
      <c r="E40" s="28">
        <v>74785</v>
      </c>
      <c r="F40" s="28">
        <f>SUM(B40:E40)</f>
        <v>990380</v>
      </c>
      <c r="G40" s="7"/>
      <c r="H40" s="7"/>
    </row>
    <row r="41" spans="1:8" x14ac:dyDescent="0.25">
      <c r="A41" s="14" t="s">
        <v>36</v>
      </c>
      <c r="B41" s="28">
        <f>5223600089/1000000</f>
        <v>5223.6000889999996</v>
      </c>
      <c r="C41" s="28">
        <v>1308.9784219999999</v>
      </c>
      <c r="D41" s="28">
        <v>589.6</v>
      </c>
      <c r="E41" s="28">
        <v>745.88881500000002</v>
      </c>
      <c r="F41" s="11">
        <f>SUM(B41:E41)</f>
        <v>7868.0673260000003</v>
      </c>
      <c r="G41" s="7"/>
      <c r="H41" s="7"/>
    </row>
    <row r="42" spans="1:8" x14ac:dyDescent="0.25">
      <c r="A42" s="70"/>
      <c r="B42" s="70"/>
      <c r="C42" s="70"/>
      <c r="D42" s="70"/>
      <c r="E42" s="70"/>
      <c r="F42" s="70"/>
      <c r="G42" s="70"/>
      <c r="H42" s="7"/>
    </row>
    <row r="43" spans="1:8" x14ac:dyDescent="0.25">
      <c r="A43" s="69" t="s">
        <v>37</v>
      </c>
      <c r="B43" s="69"/>
      <c r="C43" s="69"/>
      <c r="D43" s="69"/>
      <c r="E43" s="69"/>
      <c r="F43" s="69"/>
      <c r="H43" s="7"/>
    </row>
    <row r="44" spans="1:8" x14ac:dyDescent="0.25">
      <c r="A44" s="14" t="s">
        <v>38</v>
      </c>
      <c r="B44">
        <v>7</v>
      </c>
      <c r="C44" s="28">
        <v>9</v>
      </c>
      <c r="D44" s="28">
        <v>5</v>
      </c>
      <c r="E44" s="28">
        <v>0</v>
      </c>
      <c r="F44" s="28">
        <f>SUM(B44:E44)</f>
        <v>21</v>
      </c>
      <c r="G44" s="7"/>
      <c r="H44" s="7"/>
    </row>
    <row r="45" spans="1:8" x14ac:dyDescent="0.25">
      <c r="A45" s="14" t="s">
        <v>39</v>
      </c>
      <c r="B45" s="28">
        <f>4671802/1000000</f>
        <v>4.6718019999999996</v>
      </c>
      <c r="C45" s="13">
        <v>0.106919</v>
      </c>
      <c r="D45" s="28">
        <v>0.04</v>
      </c>
      <c r="E45" s="28">
        <v>0</v>
      </c>
      <c r="F45" s="11">
        <f>SUM(B45:E45)</f>
        <v>4.818721</v>
      </c>
      <c r="G45" s="7"/>
      <c r="H45" s="7"/>
    </row>
    <row r="46" spans="1:8" x14ac:dyDescent="0.25">
      <c r="A46" s="70"/>
      <c r="B46" s="70"/>
      <c r="C46" s="70"/>
      <c r="D46" s="70"/>
      <c r="E46" s="70"/>
      <c r="F46" s="70"/>
      <c r="G46" s="70"/>
      <c r="H46" s="7"/>
    </row>
    <row r="47" spans="1:8" x14ac:dyDescent="0.25">
      <c r="A47" s="69" t="s">
        <v>40</v>
      </c>
      <c r="B47" s="69"/>
      <c r="C47" s="69"/>
      <c r="D47" s="69"/>
      <c r="E47" s="69"/>
      <c r="F47" s="69"/>
      <c r="H47" s="7"/>
    </row>
    <row r="48" spans="1:8" x14ac:dyDescent="0.25">
      <c r="A48" s="14" t="s">
        <v>41</v>
      </c>
      <c r="B48" s="28">
        <v>126883</v>
      </c>
      <c r="C48" s="28">
        <v>63598</v>
      </c>
      <c r="D48" s="28">
        <v>11090</v>
      </c>
      <c r="E48" s="28">
        <v>56551</v>
      </c>
      <c r="F48" s="28">
        <f>SUM(B48:E48)</f>
        <v>258122</v>
      </c>
      <c r="G48" s="7"/>
      <c r="H48" s="7"/>
    </row>
    <row r="49" spans="1:8" x14ac:dyDescent="0.25">
      <c r="A49" s="14" t="s">
        <v>42</v>
      </c>
      <c r="B49" s="28">
        <f>(73161645227+1461250987)/1000000</f>
        <v>74622.896213999993</v>
      </c>
      <c r="C49" s="28">
        <v>23202</v>
      </c>
      <c r="D49" s="28">
        <v>9901.6484409999994</v>
      </c>
      <c r="E49" s="28">
        <v>11332.266362</v>
      </c>
      <c r="F49" s="11">
        <f>SUM(B49:E49)</f>
        <v>119058.81101699999</v>
      </c>
      <c r="G49" s="7"/>
      <c r="H49" s="7"/>
    </row>
    <row r="50" spans="1:8" x14ac:dyDescent="0.25">
      <c r="A50" s="70"/>
      <c r="B50" s="70"/>
      <c r="C50" s="70"/>
      <c r="D50" s="70"/>
      <c r="E50" s="70"/>
      <c r="F50" s="70"/>
      <c r="G50" s="70"/>
    </row>
    <row r="51" spans="1:8" ht="21" x14ac:dyDescent="0.35">
      <c r="A51" s="79" t="s">
        <v>43</v>
      </c>
      <c r="B51" s="80"/>
      <c r="C51" s="80"/>
      <c r="D51" s="80"/>
      <c r="E51" s="80"/>
      <c r="F51" s="81"/>
    </row>
    <row r="52" spans="1:8" x14ac:dyDescent="0.25">
      <c r="A52" s="89"/>
      <c r="B52" s="89"/>
      <c r="C52" s="89"/>
      <c r="D52" s="89"/>
      <c r="E52" s="89"/>
      <c r="F52" s="89"/>
      <c r="G52" s="89"/>
    </row>
    <row r="53" spans="1:8" x14ac:dyDescent="0.25">
      <c r="A53" s="69" t="s">
        <v>44</v>
      </c>
      <c r="B53" s="69"/>
      <c r="C53" s="69"/>
      <c r="D53" s="69"/>
      <c r="E53" s="69"/>
      <c r="F53" s="69"/>
    </row>
    <row r="54" spans="1:8" x14ac:dyDescent="0.25">
      <c r="A54" s="74" t="s">
        <v>45</v>
      </c>
      <c r="B54" s="74"/>
      <c r="C54" s="74"/>
      <c r="D54" s="74"/>
      <c r="E54" s="74"/>
      <c r="F54" s="74"/>
    </row>
    <row r="55" spans="1:8" x14ac:dyDescent="0.25">
      <c r="A55" s="14" t="s">
        <v>46</v>
      </c>
      <c r="B55" s="28">
        <v>99745</v>
      </c>
      <c r="C55" s="28">
        <v>4358</v>
      </c>
      <c r="D55" s="28">
        <v>1246</v>
      </c>
      <c r="E55" s="28">
        <v>4796</v>
      </c>
      <c r="F55" s="28">
        <f t="shared" ref="F55:F71" si="0">SUM(B55:E55)</f>
        <v>110145</v>
      </c>
    </row>
    <row r="56" spans="1:8" x14ac:dyDescent="0.25">
      <c r="A56" s="14" t="s">
        <v>47</v>
      </c>
      <c r="B56" s="28">
        <v>64926.361609</v>
      </c>
      <c r="C56" s="28">
        <v>5406.5556930000103</v>
      </c>
      <c r="D56" s="28">
        <v>1852</v>
      </c>
      <c r="E56" s="28">
        <v>12482</v>
      </c>
      <c r="F56" s="28">
        <f t="shared" si="0"/>
        <v>84666.917302000016</v>
      </c>
    </row>
    <row r="57" spans="1:8" x14ac:dyDescent="0.25">
      <c r="A57" s="14" t="s">
        <v>48</v>
      </c>
      <c r="B57" s="28">
        <v>12.8068574865908</v>
      </c>
      <c r="C57" s="28">
        <v>36</v>
      </c>
      <c r="D57" s="28">
        <v>21</v>
      </c>
      <c r="E57" s="28">
        <v>31</v>
      </c>
      <c r="F57" s="28">
        <f>AVERAGE(B57:E57)</f>
        <v>25.2017143716477</v>
      </c>
    </row>
    <row r="58" spans="1:8" x14ac:dyDescent="0.25">
      <c r="A58" s="14" t="s">
        <v>49</v>
      </c>
      <c r="B58" s="28">
        <v>961356</v>
      </c>
      <c r="C58" s="28">
        <v>142747</v>
      </c>
      <c r="D58" s="28">
        <v>50889</v>
      </c>
      <c r="E58" s="28">
        <v>76198</v>
      </c>
      <c r="F58" s="28">
        <f t="shared" si="0"/>
        <v>1231190</v>
      </c>
    </row>
    <row r="59" spans="1:8" x14ac:dyDescent="0.25">
      <c r="A59" s="14" t="s">
        <v>50</v>
      </c>
      <c r="B59" s="28">
        <v>1782059.2053499999</v>
      </c>
      <c r="C59" s="28">
        <v>260857.224583</v>
      </c>
      <c r="D59" s="28">
        <v>108886.44912600001</v>
      </c>
      <c r="E59" s="28">
        <v>173212</v>
      </c>
      <c r="F59" s="11">
        <f t="shared" si="0"/>
        <v>2325014.8790589999</v>
      </c>
    </row>
    <row r="60" spans="1:8" x14ac:dyDescent="0.25">
      <c r="A60" s="74" t="s">
        <v>51</v>
      </c>
      <c r="B60" s="74"/>
      <c r="C60" s="74"/>
      <c r="D60" s="74"/>
      <c r="E60" s="74"/>
      <c r="F60" s="74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 x14ac:dyDescent="0.25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 x14ac:dyDescent="0.25">
      <c r="A66" s="74" t="s">
        <v>52</v>
      </c>
      <c r="B66" s="74"/>
      <c r="C66" s="74"/>
      <c r="D66" s="74"/>
      <c r="E66" s="74"/>
      <c r="F66" s="74"/>
    </row>
    <row r="67" spans="1:7" x14ac:dyDescent="0.25">
      <c r="A67" s="14" t="s">
        <v>46</v>
      </c>
      <c r="B67" s="28">
        <v>7006</v>
      </c>
      <c r="C67" s="28">
        <v>1699</v>
      </c>
      <c r="D67" s="28">
        <v>1431</v>
      </c>
      <c r="E67" s="28">
        <v>12051</v>
      </c>
      <c r="F67" s="28">
        <f t="shared" si="0"/>
        <v>22187</v>
      </c>
    </row>
    <row r="68" spans="1:7" x14ac:dyDescent="0.25">
      <c r="A68" s="14" t="s">
        <v>47</v>
      </c>
      <c r="B68" s="28">
        <v>5550.2267449999999</v>
      </c>
      <c r="C68" s="28">
        <v>1783.744066</v>
      </c>
      <c r="D68" s="28">
        <v>1413</v>
      </c>
      <c r="E68" s="28">
        <v>15590</v>
      </c>
      <c r="F68" s="28">
        <f t="shared" si="0"/>
        <v>24336.970810999999</v>
      </c>
    </row>
    <row r="69" spans="1:7" x14ac:dyDescent="0.25">
      <c r="A69" s="14" t="s">
        <v>48</v>
      </c>
      <c r="B69" s="28">
        <v>37.980730802169603</v>
      </c>
      <c r="C69" s="28">
        <v>54</v>
      </c>
      <c r="D69" s="28">
        <v>48</v>
      </c>
      <c r="E69" s="28">
        <v>39</v>
      </c>
      <c r="F69" s="28">
        <f>AVERAGE(B69:E69)</f>
        <v>44.745182700542401</v>
      </c>
    </row>
    <row r="70" spans="1:7" x14ac:dyDescent="0.25">
      <c r="A70" s="14" t="s">
        <v>49</v>
      </c>
      <c r="B70" s="28">
        <v>134992</v>
      </c>
      <c r="C70" s="28">
        <v>86621</v>
      </c>
      <c r="D70" s="28">
        <v>60267</v>
      </c>
      <c r="E70" s="28">
        <v>266188</v>
      </c>
      <c r="F70" s="28">
        <f t="shared" si="0"/>
        <v>548068</v>
      </c>
    </row>
    <row r="71" spans="1:7" x14ac:dyDescent="0.25">
      <c r="A71" s="14" t="s">
        <v>50</v>
      </c>
      <c r="B71" s="28">
        <v>136322.063482</v>
      </c>
      <c r="C71" s="28">
        <v>99874.697465999998</v>
      </c>
      <c r="D71" s="28">
        <v>61999.921732000003</v>
      </c>
      <c r="E71" s="28">
        <v>239183</v>
      </c>
      <c r="F71" s="11">
        <f t="shared" si="0"/>
        <v>537379.68268000009</v>
      </c>
    </row>
    <row r="72" spans="1:7" x14ac:dyDescent="0.25">
      <c r="A72" s="83" t="s">
        <v>53</v>
      </c>
      <c r="B72" s="84"/>
      <c r="C72" s="84"/>
      <c r="D72" s="84"/>
      <c r="E72" s="84"/>
      <c r="F72" s="85"/>
    </row>
    <row r="73" spans="1:7" x14ac:dyDescent="0.25">
      <c r="A73" s="18" t="s">
        <v>54</v>
      </c>
      <c r="B73" s="19">
        <f>+B55+B67</f>
        <v>106751</v>
      </c>
      <c r="C73" s="19">
        <f>+C67+C61+C55</f>
        <v>6057</v>
      </c>
      <c r="D73" s="19">
        <v>2677</v>
      </c>
      <c r="E73" s="19">
        <v>16847</v>
      </c>
      <c r="F73" s="19">
        <f>SUM(B73:E73)</f>
        <v>132332</v>
      </c>
    </row>
    <row r="74" spans="1:7" x14ac:dyDescent="0.25">
      <c r="A74" s="18" t="s">
        <v>47</v>
      </c>
      <c r="B74" s="19">
        <f>+B56+B68</f>
        <v>70476.588354000007</v>
      </c>
      <c r="C74" s="19">
        <f t="shared" ref="C74:C76" si="1">+C68+C62+C56</f>
        <v>7190.2997590000105</v>
      </c>
      <c r="D74" s="19">
        <v>3265</v>
      </c>
      <c r="E74" s="19">
        <v>28072</v>
      </c>
      <c r="F74" s="22">
        <f>SUM(B74:E74)</f>
        <v>109003.88811300002</v>
      </c>
    </row>
    <row r="75" spans="1:7" x14ac:dyDescent="0.25">
      <c r="A75" s="18" t="s">
        <v>48</v>
      </c>
      <c r="B75" s="19">
        <v>14.4590027259698</v>
      </c>
      <c r="C75" s="19">
        <v>30</v>
      </c>
      <c r="D75" s="19">
        <v>48</v>
      </c>
      <c r="E75" s="19">
        <v>35</v>
      </c>
      <c r="F75" s="19">
        <f>AVERAGE(B75:E75)</f>
        <v>31.864750681492449</v>
      </c>
    </row>
    <row r="76" spans="1:7" x14ac:dyDescent="0.25">
      <c r="A76" s="18" t="s">
        <v>49</v>
      </c>
      <c r="B76" s="19">
        <f>+B58+B70</f>
        <v>1096348</v>
      </c>
      <c r="C76" s="19">
        <f t="shared" si="1"/>
        <v>229368</v>
      </c>
      <c r="D76" s="19">
        <v>111156</v>
      </c>
      <c r="E76" s="19">
        <v>342386</v>
      </c>
      <c r="F76" s="19">
        <f>SUM(B76:E76)</f>
        <v>1779258</v>
      </c>
    </row>
    <row r="77" spans="1:7" x14ac:dyDescent="0.25">
      <c r="A77" s="18" t="s">
        <v>50</v>
      </c>
      <c r="B77" s="19">
        <f>+B59+B71</f>
        <v>1918381.268832</v>
      </c>
      <c r="C77" s="19">
        <f>+C71+C65+C59</f>
        <v>360731.92204899999</v>
      </c>
      <c r="D77" s="19">
        <v>170886.37085800001</v>
      </c>
      <c r="E77" s="19">
        <v>412395</v>
      </c>
      <c r="F77" s="22">
        <f>SUM(B77:E77)</f>
        <v>2862394.561739</v>
      </c>
    </row>
    <row r="78" spans="1:7" x14ac:dyDescent="0.25">
      <c r="A78" s="70"/>
      <c r="B78" s="70"/>
      <c r="C78" s="70"/>
      <c r="D78" s="70"/>
      <c r="E78" s="70"/>
      <c r="F78" s="70"/>
      <c r="G78" s="70"/>
    </row>
    <row r="79" spans="1:7" x14ac:dyDescent="0.25">
      <c r="A79" s="75" t="s">
        <v>55</v>
      </c>
      <c r="B79" s="76"/>
      <c r="C79" s="76"/>
      <c r="D79" s="76"/>
      <c r="E79" s="76"/>
      <c r="F79" s="77"/>
    </row>
    <row r="80" spans="1:7" x14ac:dyDescent="0.25">
      <c r="A80" s="71" t="s">
        <v>45</v>
      </c>
      <c r="B80" s="72"/>
      <c r="C80" s="72"/>
      <c r="D80" s="72"/>
      <c r="E80" s="72"/>
      <c r="F80" s="73"/>
    </row>
    <row r="81" spans="1:6" x14ac:dyDescent="0.25">
      <c r="A81" s="14" t="s">
        <v>46</v>
      </c>
      <c r="B81" s="20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0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0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1014</v>
      </c>
      <c r="C84" s="24">
        <v>117</v>
      </c>
      <c r="D84" s="24">
        <v>6</v>
      </c>
      <c r="E84" s="24">
        <v>96</v>
      </c>
      <c r="F84" s="24">
        <f>SUM(B84:E84)</f>
        <v>1233</v>
      </c>
    </row>
    <row r="85" spans="1:6" x14ac:dyDescent="0.25">
      <c r="A85" s="14" t="s">
        <v>50</v>
      </c>
      <c r="B85" s="24">
        <v>21846.011004</v>
      </c>
      <c r="C85" s="24">
        <v>1470</v>
      </c>
      <c r="D85" s="24">
        <v>78</v>
      </c>
      <c r="E85" s="24">
        <v>1742.2869029999999</v>
      </c>
      <c r="F85" s="11">
        <f>SUM(B85:E85)</f>
        <v>25136.297907</v>
      </c>
    </row>
    <row r="86" spans="1:6" x14ac:dyDescent="0.25">
      <c r="A86" s="71" t="s">
        <v>51</v>
      </c>
      <c r="B86" s="72"/>
      <c r="C86" s="72"/>
      <c r="D86" s="72"/>
      <c r="E86" s="72"/>
      <c r="F86" s="73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 x14ac:dyDescent="0.25">
      <c r="A92" s="71" t="s">
        <v>52</v>
      </c>
      <c r="B92" s="72"/>
      <c r="C92" s="72"/>
      <c r="D92" s="72"/>
      <c r="E92" s="72"/>
      <c r="F92" s="73"/>
    </row>
    <row r="93" spans="1:6" x14ac:dyDescent="0.25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 x14ac:dyDescent="0.25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 x14ac:dyDescent="0.25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 x14ac:dyDescent="0.25">
      <c r="A96" s="14" t="s">
        <v>49</v>
      </c>
      <c r="B96" s="28">
        <v>10</v>
      </c>
      <c r="C96" s="28">
        <v>0</v>
      </c>
      <c r="D96" s="28">
        <v>0</v>
      </c>
      <c r="E96" s="28">
        <v>7</v>
      </c>
      <c r="F96" s="28">
        <f>SUM(B96:E96)</f>
        <v>17</v>
      </c>
    </row>
    <row r="97" spans="1:7" x14ac:dyDescent="0.25">
      <c r="A97" s="14" t="s">
        <v>50</v>
      </c>
      <c r="B97" s="28">
        <v>177.087807</v>
      </c>
      <c r="C97" s="28">
        <v>0</v>
      </c>
      <c r="D97" s="28">
        <v>0</v>
      </c>
      <c r="E97" s="28">
        <v>83.292221999999995</v>
      </c>
      <c r="F97" s="11">
        <f>SUM(B97:E97)</f>
        <v>260.38002899999998</v>
      </c>
    </row>
    <row r="98" spans="1:7" x14ac:dyDescent="0.25">
      <c r="A98" s="83" t="s">
        <v>56</v>
      </c>
      <c r="B98" s="84"/>
      <c r="C98" s="84"/>
      <c r="D98" s="84"/>
      <c r="E98" s="84"/>
      <c r="F98" s="85"/>
    </row>
    <row r="99" spans="1:7" x14ac:dyDescent="0.25">
      <c r="A99" s="18" t="s">
        <v>46</v>
      </c>
      <c r="B99" s="19">
        <v>0</v>
      </c>
      <c r="C99" s="19">
        <v>0</v>
      </c>
      <c r="D99" s="19">
        <v>0</v>
      </c>
      <c r="E99" s="19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9">
        <v>0</v>
      </c>
      <c r="D100" s="19">
        <v>0</v>
      </c>
      <c r="E100" s="19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 x14ac:dyDescent="0.25">
      <c r="A102" s="18" t="s">
        <v>49</v>
      </c>
      <c r="B102" s="19">
        <f>+B96+B84</f>
        <v>1024</v>
      </c>
      <c r="C102" s="19">
        <v>117</v>
      </c>
      <c r="D102" s="19">
        <f>+D84</f>
        <v>6</v>
      </c>
      <c r="E102" s="19">
        <f>+E96+E84</f>
        <v>103</v>
      </c>
      <c r="F102" s="19">
        <f>SUM(B102:E102)</f>
        <v>1250</v>
      </c>
    </row>
    <row r="103" spans="1:7" x14ac:dyDescent="0.25">
      <c r="A103" s="18" t="s">
        <v>50</v>
      </c>
      <c r="B103" s="19">
        <f>+B97+B85</f>
        <v>22023.098811</v>
      </c>
      <c r="C103" s="19">
        <v>1470</v>
      </c>
      <c r="D103" s="19">
        <f>+D85</f>
        <v>78</v>
      </c>
      <c r="E103" s="19">
        <f>+E85+E97</f>
        <v>1825.579125</v>
      </c>
      <c r="F103" s="22">
        <f>SUM(B103:E103)</f>
        <v>25396.677936</v>
      </c>
    </row>
    <row r="104" spans="1:7" x14ac:dyDescent="0.25">
      <c r="A104" s="70"/>
      <c r="B104" s="70"/>
      <c r="C104" s="70"/>
      <c r="D104" s="70"/>
      <c r="E104" s="70"/>
      <c r="F104" s="70"/>
      <c r="G104" s="70"/>
    </row>
    <row r="105" spans="1:7" x14ac:dyDescent="0.25">
      <c r="A105" s="69" t="s">
        <v>57</v>
      </c>
      <c r="B105" s="69"/>
      <c r="C105" s="69"/>
      <c r="D105" s="69"/>
      <c r="E105" s="69"/>
      <c r="F105" s="69"/>
    </row>
    <row r="106" spans="1:7" x14ac:dyDescent="0.25">
      <c r="A106" s="74" t="s">
        <v>58</v>
      </c>
      <c r="B106" s="74"/>
      <c r="C106" s="74"/>
      <c r="D106" s="74"/>
      <c r="E106" s="74"/>
      <c r="F106" s="74"/>
    </row>
    <row r="107" spans="1:7" x14ac:dyDescent="0.25">
      <c r="A107" s="14" t="s">
        <v>59</v>
      </c>
      <c r="B107" s="13">
        <v>2.8587071348550803</v>
      </c>
      <c r="C107" s="13">
        <v>2.5499999999999998</v>
      </c>
      <c r="D107" s="14">
        <v>2.92</v>
      </c>
      <c r="E107" s="13">
        <v>2.54</v>
      </c>
      <c r="F107" s="13">
        <f>AVERAGE(B107:E107)</f>
        <v>2.7171767837137697</v>
      </c>
    </row>
    <row r="108" spans="1:7" x14ac:dyDescent="0.25">
      <c r="A108" s="14" t="s">
        <v>60</v>
      </c>
      <c r="B108" s="13">
        <v>2.6216280209014191</v>
      </c>
      <c r="C108" s="13">
        <v>2.65</v>
      </c>
      <c r="D108" s="14">
        <v>2.83</v>
      </c>
      <c r="E108" s="13">
        <v>2.66</v>
      </c>
      <c r="F108" s="13">
        <f>AVERAGE(B108:E108)</f>
        <v>2.6904070052253548</v>
      </c>
    </row>
    <row r="109" spans="1:7" x14ac:dyDescent="0.25">
      <c r="A109" s="14" t="s">
        <v>61</v>
      </c>
      <c r="B109" s="13">
        <v>2.4663123914825733</v>
      </c>
      <c r="C109" s="13">
        <v>2.65</v>
      </c>
      <c r="D109" s="14">
        <v>2.8</v>
      </c>
      <c r="E109" s="13">
        <v>2.69</v>
      </c>
      <c r="F109" s="13">
        <f>AVERAGE(B109:E109)</f>
        <v>2.6515780978706434</v>
      </c>
    </row>
    <row r="110" spans="1:7" x14ac:dyDescent="0.25">
      <c r="A110" s="74" t="s">
        <v>62</v>
      </c>
      <c r="B110" s="74"/>
      <c r="C110" s="74"/>
      <c r="D110" s="74"/>
      <c r="E110" s="74"/>
      <c r="F110" s="74"/>
    </row>
    <row r="111" spans="1:7" x14ac:dyDescent="0.25">
      <c r="A111" s="14" t="s">
        <v>59</v>
      </c>
      <c r="B111" s="13">
        <v>1.7999999999999983</v>
      </c>
      <c r="C111" s="13">
        <v>1.95</v>
      </c>
      <c r="D111" s="14">
        <v>1.6</v>
      </c>
      <c r="E111" s="13">
        <v>1.95</v>
      </c>
      <c r="F111" s="13">
        <f>AVERAGE(B111:E111)</f>
        <v>1.8249999999999995</v>
      </c>
    </row>
    <row r="112" spans="1:7" x14ac:dyDescent="0.25">
      <c r="A112" s="14" t="s">
        <v>60</v>
      </c>
      <c r="B112" s="13">
        <v>2.1500000000000035</v>
      </c>
      <c r="C112" s="13">
        <v>2.16</v>
      </c>
      <c r="D112" s="14">
        <v>2.16</v>
      </c>
      <c r="E112" s="14">
        <v>2.16</v>
      </c>
      <c r="F112" s="13">
        <f>AVERAGE(B112:E112)</f>
        <v>2.1575000000000011</v>
      </c>
    </row>
    <row r="113" spans="1:8" x14ac:dyDescent="0.25">
      <c r="A113" s="14" t="s">
        <v>61</v>
      </c>
      <c r="B113" s="13">
        <v>2.1462183098591643</v>
      </c>
      <c r="C113" s="13">
        <v>2.16</v>
      </c>
      <c r="D113" s="14">
        <v>2.2000000000000002</v>
      </c>
      <c r="E113" s="14">
        <v>2.19</v>
      </c>
      <c r="F113" s="13">
        <f>AVERAGE(B113:E113)</f>
        <v>2.174054577464791</v>
      </c>
    </row>
    <row r="114" spans="1:8" x14ac:dyDescent="0.25">
      <c r="A114" s="70"/>
      <c r="B114" s="70"/>
      <c r="C114" s="70"/>
      <c r="D114" s="70"/>
      <c r="E114" s="70"/>
      <c r="F114" s="70"/>
      <c r="G114" s="70"/>
      <c r="H114" s="70"/>
    </row>
    <row r="115" spans="1:8" x14ac:dyDescent="0.25">
      <c r="A115" s="74" t="s">
        <v>63</v>
      </c>
      <c r="B115" s="74"/>
      <c r="C115" s="74"/>
      <c r="D115" s="74"/>
      <c r="E115" s="74"/>
      <c r="F115" s="74"/>
    </row>
    <row r="116" spans="1:8" x14ac:dyDescent="0.25">
      <c r="A116" s="14" t="s">
        <v>59</v>
      </c>
      <c r="B116" s="13">
        <v>1.5144081172491666</v>
      </c>
      <c r="C116" s="13">
        <v>1.79</v>
      </c>
      <c r="D116" s="20">
        <v>2.0699999999999998</v>
      </c>
      <c r="E116" s="13">
        <v>1.79</v>
      </c>
      <c r="F116" s="13">
        <f>AVERAGE(B116:E116)</f>
        <v>1.7911020293122915</v>
      </c>
    </row>
    <row r="117" spans="1:8" x14ac:dyDescent="0.25">
      <c r="A117" s="14" t="s">
        <v>60</v>
      </c>
      <c r="B117" s="13">
        <v>1.7579421768708139</v>
      </c>
      <c r="C117" s="13">
        <v>1.79</v>
      </c>
      <c r="D117" s="20">
        <v>2.0499999999999998</v>
      </c>
      <c r="E117" s="13">
        <v>1.79</v>
      </c>
      <c r="F117" s="13">
        <f>AVERAGE(B117:E117)</f>
        <v>1.8469855442177034</v>
      </c>
    </row>
    <row r="118" spans="1:8" x14ac:dyDescent="0.25">
      <c r="A118" s="14" t="s">
        <v>61</v>
      </c>
      <c r="B118" s="13">
        <v>1.7577832703305636</v>
      </c>
      <c r="C118" s="13">
        <v>1.74</v>
      </c>
      <c r="D118" s="20">
        <v>2.25</v>
      </c>
      <c r="E118" s="13">
        <v>1.99</v>
      </c>
      <c r="F118" s="13">
        <f>AVERAGE(B118:E118)</f>
        <v>1.9344458175826409</v>
      </c>
    </row>
    <row r="119" spans="1:8" x14ac:dyDescent="0.25">
      <c r="A119" s="71" t="s">
        <v>64</v>
      </c>
      <c r="B119" s="72"/>
      <c r="C119" s="72"/>
      <c r="D119" s="72"/>
      <c r="E119" s="72"/>
      <c r="F119" s="73"/>
    </row>
    <row r="120" spans="1:8" x14ac:dyDescent="0.25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14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14">
        <v>1.9</v>
      </c>
      <c r="E122" s="13">
        <v>1.73</v>
      </c>
      <c r="F122" s="13">
        <f>AVERAGE(B122:E122)</f>
        <v>1.6225000000000001</v>
      </c>
    </row>
    <row r="123" spans="1:8" x14ac:dyDescent="0.25">
      <c r="A123" s="70"/>
      <c r="B123" s="70"/>
      <c r="C123" s="70"/>
      <c r="D123" s="70"/>
      <c r="E123" s="70"/>
      <c r="F123" s="70"/>
      <c r="G123" s="70"/>
    </row>
    <row r="124" spans="1:8" x14ac:dyDescent="0.25">
      <c r="A124" s="75" t="s">
        <v>65</v>
      </c>
      <c r="B124" s="76"/>
      <c r="C124" s="76"/>
      <c r="D124" s="76"/>
      <c r="E124" s="76"/>
      <c r="F124" s="77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75" t="s">
        <v>67</v>
      </c>
      <c r="B126" s="76"/>
      <c r="C126" s="76"/>
      <c r="D126" s="76"/>
      <c r="E126" s="76"/>
      <c r="F126" s="77"/>
    </row>
    <row r="127" spans="1:8" x14ac:dyDescent="0.25">
      <c r="A127" s="3" t="s">
        <v>68</v>
      </c>
      <c r="B127" s="13">
        <v>1.84</v>
      </c>
      <c r="C127" s="39">
        <v>2.0552169999999998</v>
      </c>
      <c r="D127" s="34">
        <v>2.2443118697697018</v>
      </c>
      <c r="E127" s="4">
        <v>0</v>
      </c>
      <c r="F127" s="11">
        <f>AVERAGE(B127:D127)</f>
        <v>2.0465096232565672</v>
      </c>
    </row>
    <row r="128" spans="1:8" x14ac:dyDescent="0.25">
      <c r="A128" s="82"/>
      <c r="B128" s="82"/>
      <c r="C128" s="82"/>
      <c r="D128" s="82"/>
      <c r="E128" s="82"/>
      <c r="F128" s="82"/>
      <c r="G128" s="82"/>
    </row>
    <row r="129" spans="1:8" x14ac:dyDescent="0.25">
      <c r="A129" s="69" t="s">
        <v>69</v>
      </c>
      <c r="B129" s="69"/>
      <c r="C129" s="69"/>
      <c r="D129" s="69"/>
      <c r="E129" s="69"/>
      <c r="F129" s="69"/>
    </row>
    <row r="130" spans="1:8" x14ac:dyDescent="0.25">
      <c r="A130" s="14" t="s">
        <v>70</v>
      </c>
      <c r="B130" s="28">
        <v>234162</v>
      </c>
      <c r="C130" s="28">
        <v>3447</v>
      </c>
      <c r="D130" s="28">
        <v>8546</v>
      </c>
      <c r="E130" s="28">
        <v>787</v>
      </c>
      <c r="F130" s="28">
        <f>SUM(B130:E130)</f>
        <v>246942</v>
      </c>
    </row>
    <row r="131" spans="1:8" x14ac:dyDescent="0.25">
      <c r="A131" s="14" t="s">
        <v>71</v>
      </c>
      <c r="B131" s="28">
        <v>157729.870551</v>
      </c>
      <c r="C131" s="28">
        <v>3752</v>
      </c>
      <c r="D131" s="28">
        <v>971</v>
      </c>
      <c r="E131" s="28">
        <v>705.19424100000003</v>
      </c>
      <c r="F131" s="11">
        <f>SUM(B131:E131)</f>
        <v>163158.06479199999</v>
      </c>
    </row>
    <row r="132" spans="1:8" x14ac:dyDescent="0.25">
      <c r="A132" s="70"/>
      <c r="B132" s="70"/>
      <c r="C132" s="70"/>
      <c r="D132" s="70"/>
      <c r="E132" s="70"/>
      <c r="F132" s="70"/>
      <c r="G132" s="70"/>
    </row>
    <row r="133" spans="1:8" x14ac:dyDescent="0.25">
      <c r="A133" s="69" t="s">
        <v>72</v>
      </c>
      <c r="B133" s="69"/>
      <c r="C133" s="69"/>
      <c r="D133" s="69"/>
      <c r="E133" s="69"/>
      <c r="F133" s="69"/>
    </row>
    <row r="134" spans="1:8" x14ac:dyDescent="0.25">
      <c r="A134" s="14" t="s">
        <v>73</v>
      </c>
      <c r="B134" s="28">
        <v>761016</v>
      </c>
      <c r="C134" s="28">
        <v>364897</v>
      </c>
      <c r="D134" s="28">
        <v>126950</v>
      </c>
      <c r="E134" s="28">
        <v>290470</v>
      </c>
      <c r="F134" s="28">
        <f>SUM(B134:E134)</f>
        <v>1543333</v>
      </c>
    </row>
    <row r="135" spans="1:8" x14ac:dyDescent="0.25">
      <c r="A135" s="70"/>
      <c r="B135" s="70"/>
      <c r="C135" s="70"/>
      <c r="D135" s="70"/>
      <c r="E135" s="70"/>
      <c r="F135" s="70"/>
      <c r="G135" s="70"/>
    </row>
    <row r="136" spans="1:8" ht="21" x14ac:dyDescent="0.35">
      <c r="A136" s="78" t="s">
        <v>74</v>
      </c>
      <c r="B136" s="78"/>
      <c r="C136" s="78"/>
      <c r="D136" s="78"/>
      <c r="E136" s="78"/>
      <c r="F136" s="78"/>
    </row>
    <row r="137" spans="1:8" x14ac:dyDescent="0.25">
      <c r="A137" s="69" t="s">
        <v>75</v>
      </c>
      <c r="B137" s="69"/>
      <c r="C137" s="69"/>
      <c r="D137" s="69"/>
      <c r="E137" s="69"/>
      <c r="F137" s="69"/>
    </row>
    <row r="138" spans="1:8" x14ac:dyDescent="0.25">
      <c r="A138" s="14" t="s">
        <v>76</v>
      </c>
      <c r="B138" s="28">
        <v>0</v>
      </c>
      <c r="C138" s="28">
        <v>0</v>
      </c>
      <c r="D138" s="28">
        <v>0</v>
      </c>
      <c r="E138" s="28">
        <v>15474</v>
      </c>
      <c r="F138" s="28">
        <f>SUM(B138:E138)</f>
        <v>15474</v>
      </c>
      <c r="G138" s="7"/>
      <c r="H138" s="7"/>
    </row>
    <row r="139" spans="1:8" x14ac:dyDescent="0.25">
      <c r="A139" s="14" t="s">
        <v>77</v>
      </c>
      <c r="B139" s="28">
        <v>0</v>
      </c>
      <c r="C139" s="28">
        <v>0</v>
      </c>
      <c r="D139" s="28">
        <v>0</v>
      </c>
      <c r="E139" s="28">
        <v>166</v>
      </c>
      <c r="F139" s="28">
        <f>SUM(B139:E139)</f>
        <v>166</v>
      </c>
      <c r="G139" s="7"/>
      <c r="H139" s="7"/>
    </row>
    <row r="140" spans="1:8" x14ac:dyDescent="0.25">
      <c r="A140" s="70"/>
      <c r="B140" s="70"/>
      <c r="C140" s="70"/>
      <c r="D140" s="70"/>
      <c r="E140" s="70"/>
      <c r="F140" s="70"/>
      <c r="G140" s="70"/>
      <c r="H140" s="7"/>
    </row>
    <row r="141" spans="1:8" x14ac:dyDescent="0.25">
      <c r="A141" s="70"/>
      <c r="B141" s="70"/>
      <c r="C141" s="70"/>
      <c r="D141" s="70"/>
      <c r="E141" s="70"/>
      <c r="F141" s="70"/>
      <c r="G141" s="70"/>
    </row>
    <row r="142" spans="1:8" ht="21" x14ac:dyDescent="0.35">
      <c r="A142" s="79" t="s">
        <v>78</v>
      </c>
      <c r="B142" s="80"/>
      <c r="C142" s="80"/>
      <c r="D142" s="80"/>
      <c r="E142" s="80"/>
      <c r="F142" s="81"/>
    </row>
    <row r="143" spans="1:8" x14ac:dyDescent="0.25">
      <c r="A143" s="75" t="s">
        <v>79</v>
      </c>
      <c r="B143" s="76"/>
      <c r="C143" s="76"/>
      <c r="D143" s="76"/>
      <c r="E143" s="76"/>
      <c r="F143" s="77"/>
    </row>
    <row r="144" spans="1:8" x14ac:dyDescent="0.25">
      <c r="A144" s="70"/>
      <c r="B144" s="70"/>
      <c r="C144" s="70"/>
      <c r="D144" s="70"/>
      <c r="E144" s="70"/>
      <c r="F144" s="70"/>
      <c r="G144" s="70"/>
    </row>
    <row r="145" spans="1:7" x14ac:dyDescent="0.25">
      <c r="A145" s="74" t="s">
        <v>80</v>
      </c>
      <c r="B145" s="74"/>
      <c r="C145" s="74"/>
      <c r="D145" s="74"/>
      <c r="E145" s="74"/>
      <c r="F145" s="74"/>
    </row>
    <row r="146" spans="1:7" x14ac:dyDescent="0.25">
      <c r="A146" s="14" t="s">
        <v>81</v>
      </c>
      <c r="B146" s="28">
        <v>0</v>
      </c>
      <c r="C146" s="28">
        <v>679</v>
      </c>
      <c r="D146" s="28">
        <v>0</v>
      </c>
      <c r="E146" s="28">
        <v>1216</v>
      </c>
      <c r="F146" s="28">
        <f>SUM(B146:E146)</f>
        <v>1895</v>
      </c>
    </row>
    <row r="147" spans="1:7" x14ac:dyDescent="0.25">
      <c r="A147" s="14" t="s">
        <v>82</v>
      </c>
      <c r="B147" s="28">
        <v>0</v>
      </c>
      <c r="C147" s="28">
        <v>15.06</v>
      </c>
      <c r="D147" s="28">
        <v>0</v>
      </c>
      <c r="E147" s="28">
        <v>13.209250000000001</v>
      </c>
      <c r="F147" s="11">
        <f>SUM(B147:E147)</f>
        <v>28.26925</v>
      </c>
    </row>
    <row r="148" spans="1:7" x14ac:dyDescent="0.25">
      <c r="A148" s="70"/>
      <c r="B148" s="70"/>
      <c r="C148" s="70"/>
      <c r="D148" s="70"/>
      <c r="E148" s="70"/>
      <c r="F148" s="70"/>
      <c r="G148" s="70"/>
    </row>
    <row r="149" spans="1:7" x14ac:dyDescent="0.25">
      <c r="A149" s="74" t="s">
        <v>83</v>
      </c>
      <c r="B149" s="74"/>
      <c r="C149" s="74"/>
      <c r="D149" s="74"/>
      <c r="E149" s="74"/>
      <c r="F149" s="74"/>
    </row>
    <row r="150" spans="1:7" x14ac:dyDescent="0.25">
      <c r="A150" s="14" t="s">
        <v>84</v>
      </c>
      <c r="B150" s="28">
        <v>0</v>
      </c>
      <c r="C150" s="37">
        <v>2</v>
      </c>
      <c r="D150" s="28">
        <v>0</v>
      </c>
      <c r="E150" s="28">
        <v>0</v>
      </c>
      <c r="F150" s="28">
        <f>SUM(B150:E150)</f>
        <v>2</v>
      </c>
      <c r="G150"/>
    </row>
    <row r="151" spans="1:7" x14ac:dyDescent="0.25">
      <c r="A151" s="14" t="s">
        <v>85</v>
      </c>
      <c r="B151" s="28">
        <v>0</v>
      </c>
      <c r="C151" s="37">
        <v>0.08</v>
      </c>
      <c r="D151" s="28">
        <v>0</v>
      </c>
      <c r="E151" s="28">
        <v>0</v>
      </c>
      <c r="F151" s="11">
        <f>SUM(B151:E151)</f>
        <v>0.08</v>
      </c>
      <c r="G151"/>
    </row>
    <row r="152" spans="1:7" x14ac:dyDescent="0.25">
      <c r="A152" s="70"/>
      <c r="B152" s="70"/>
      <c r="C152" s="70"/>
      <c r="D152" s="70"/>
      <c r="E152" s="70"/>
      <c r="F152" s="70"/>
      <c r="G152" s="70"/>
    </row>
    <row r="153" spans="1:7" x14ac:dyDescent="0.25">
      <c r="A153" s="74" t="s">
        <v>86</v>
      </c>
      <c r="B153" s="74"/>
      <c r="C153" s="74"/>
      <c r="D153" s="74"/>
      <c r="E153" s="74"/>
      <c r="F153" s="74"/>
    </row>
    <row r="154" spans="1:7" x14ac:dyDescent="0.25">
      <c r="A154" s="14" t="s">
        <v>87</v>
      </c>
      <c r="B154" s="14">
        <v>0</v>
      </c>
      <c r="C154" s="28">
        <v>109</v>
      </c>
      <c r="D154" s="36">
        <v>0</v>
      </c>
      <c r="E154" s="35">
        <v>0</v>
      </c>
      <c r="F154" s="28">
        <f>SUM(B154:E154)</f>
        <v>109</v>
      </c>
      <c r="G154"/>
    </row>
    <row r="155" spans="1:7" x14ac:dyDescent="0.25">
      <c r="A155" s="14" t="s">
        <v>88</v>
      </c>
      <c r="B155" s="11">
        <v>0</v>
      </c>
      <c r="C155" s="28">
        <v>0</v>
      </c>
      <c r="D155" s="36">
        <v>0</v>
      </c>
      <c r="E155" s="35">
        <v>0</v>
      </c>
      <c r="F155" s="11">
        <f>SUM(B155:E155)</f>
        <v>0</v>
      </c>
      <c r="G155"/>
    </row>
    <row r="156" spans="1:7" x14ac:dyDescent="0.25">
      <c r="A156" s="70"/>
      <c r="B156" s="70"/>
      <c r="C156" s="70"/>
      <c r="D156" s="70"/>
      <c r="E156" s="70"/>
      <c r="F156" s="70"/>
      <c r="G156" s="70"/>
    </row>
    <row r="157" spans="1:7" x14ac:dyDescent="0.25">
      <c r="A157" s="71" t="s">
        <v>89</v>
      </c>
      <c r="B157" s="72"/>
      <c r="C157" s="72"/>
      <c r="D157" s="72"/>
      <c r="E157" s="72"/>
      <c r="F157" s="73"/>
    </row>
    <row r="158" spans="1:7" x14ac:dyDescent="0.25">
      <c r="A158" s="18" t="s">
        <v>90</v>
      </c>
      <c r="B158" s="19">
        <v>0</v>
      </c>
      <c r="C158" s="46">
        <v>790</v>
      </c>
      <c r="D158" s="19">
        <v>0</v>
      </c>
      <c r="E158" s="19">
        <f>E146+E154</f>
        <v>1216</v>
      </c>
      <c r="F158" s="19">
        <f>SUM(B158:E158)</f>
        <v>2006</v>
      </c>
    </row>
    <row r="159" spans="1:7" x14ac:dyDescent="0.25">
      <c r="A159" s="18" t="s">
        <v>91</v>
      </c>
      <c r="B159" s="19">
        <v>0</v>
      </c>
      <c r="C159" s="46">
        <v>15.14</v>
      </c>
      <c r="D159" s="19">
        <v>0</v>
      </c>
      <c r="E159" s="19">
        <f>E147+E155</f>
        <v>13.209250000000001</v>
      </c>
      <c r="F159" s="22">
        <f>SUM(B159:E159)</f>
        <v>28.349250000000001</v>
      </c>
    </row>
    <row r="160" spans="1:7" x14ac:dyDescent="0.25">
      <c r="A160" s="70"/>
      <c r="B160" s="70"/>
      <c r="C160" s="70"/>
      <c r="D160" s="70"/>
      <c r="E160" s="70"/>
      <c r="F160" s="70"/>
      <c r="G160" s="70"/>
    </row>
    <row r="161" spans="1:7" x14ac:dyDescent="0.25">
      <c r="A161" s="69" t="s">
        <v>92</v>
      </c>
      <c r="B161" s="69"/>
      <c r="C161" s="69"/>
      <c r="D161" s="69"/>
      <c r="E161" s="69"/>
      <c r="F161" s="69"/>
    </row>
    <row r="162" spans="1:7" x14ac:dyDescent="0.25">
      <c r="A162" s="14" t="s">
        <v>87</v>
      </c>
      <c r="B162" s="28">
        <v>2785</v>
      </c>
      <c r="C162" s="28">
        <v>37786</v>
      </c>
      <c r="D162" s="28">
        <v>4298</v>
      </c>
      <c r="E162" s="28">
        <v>25992</v>
      </c>
      <c r="F162" s="28">
        <f>SUM(B162:E162)</f>
        <v>70861</v>
      </c>
    </row>
    <row r="163" spans="1:7" x14ac:dyDescent="0.25">
      <c r="A163" s="14" t="s">
        <v>88</v>
      </c>
      <c r="B163" s="28">
        <f>61962827/1000000</f>
        <v>61.962826999999997</v>
      </c>
      <c r="C163" s="28">
        <v>253.05298300000001</v>
      </c>
      <c r="D163" s="28">
        <v>74.499318000000002</v>
      </c>
      <c r="E163" s="28">
        <v>174.91290499999999</v>
      </c>
      <c r="F163" s="11">
        <f>SUM(B163:E163)</f>
        <v>564.42803300000003</v>
      </c>
    </row>
    <row r="164" spans="1:7" x14ac:dyDescent="0.25">
      <c r="A164" s="70"/>
      <c r="B164" s="70"/>
      <c r="C164" s="70"/>
      <c r="D164" s="70"/>
      <c r="E164" s="70"/>
      <c r="F164" s="70"/>
    </row>
    <row r="165" spans="1:7" x14ac:dyDescent="0.25">
      <c r="A165" s="75" t="s">
        <v>93</v>
      </c>
      <c r="B165" s="76"/>
      <c r="C165" s="76"/>
      <c r="D165" s="76"/>
      <c r="E165" s="76"/>
      <c r="F165" s="77"/>
    </row>
    <row r="166" spans="1:7" x14ac:dyDescent="0.25">
      <c r="A166" s="71" t="s">
        <v>94</v>
      </c>
      <c r="B166" s="72"/>
      <c r="C166" s="72"/>
      <c r="D166" s="72"/>
      <c r="E166" s="72"/>
      <c r="F166" s="73"/>
    </row>
    <row r="167" spans="1:7" x14ac:dyDescent="0.25">
      <c r="A167" s="14" t="s">
        <v>95</v>
      </c>
      <c r="B167" s="28">
        <v>271</v>
      </c>
      <c r="C167" s="28">
        <v>3982</v>
      </c>
      <c r="D167" s="28">
        <v>98</v>
      </c>
      <c r="E167" s="28">
        <v>551</v>
      </c>
      <c r="F167" s="28">
        <f>SUM(B167:E167)</f>
        <v>4902</v>
      </c>
    </row>
    <row r="168" spans="1:7" x14ac:dyDescent="0.25">
      <c r="A168" s="14" t="s">
        <v>96</v>
      </c>
      <c r="B168" s="28">
        <f>6775000/1000000</f>
        <v>6.7750000000000004</v>
      </c>
      <c r="C168" s="28">
        <v>93.734080000000006</v>
      </c>
      <c r="D168" s="28">
        <v>2.4500000000000002</v>
      </c>
      <c r="E168" s="28">
        <v>19.611999999999998</v>
      </c>
      <c r="F168" s="11">
        <f>SUM(B168:E168)</f>
        <v>122.57108000000001</v>
      </c>
    </row>
    <row r="169" spans="1:7" x14ac:dyDescent="0.25">
      <c r="A169" s="70"/>
      <c r="B169" s="70"/>
      <c r="C169" s="70"/>
      <c r="D169" s="70"/>
      <c r="E169" s="70"/>
      <c r="F169" s="70"/>
    </row>
    <row r="170" spans="1:7" x14ac:dyDescent="0.25">
      <c r="A170" s="71" t="s">
        <v>97</v>
      </c>
      <c r="B170" s="72"/>
      <c r="C170" s="72"/>
      <c r="D170" s="72"/>
      <c r="E170" s="72"/>
      <c r="F170" s="73"/>
    </row>
    <row r="171" spans="1:7" x14ac:dyDescent="0.25">
      <c r="A171" s="14" t="s">
        <v>98</v>
      </c>
      <c r="B171" s="28">
        <v>1153</v>
      </c>
      <c r="C171" s="28">
        <v>437</v>
      </c>
      <c r="D171" s="28">
        <v>151</v>
      </c>
      <c r="E171" s="28">
        <v>431</v>
      </c>
      <c r="F171" s="28">
        <f>SUM(B171:E171)</f>
        <v>2172</v>
      </c>
    </row>
    <row r="172" spans="1:7" x14ac:dyDescent="0.25">
      <c r="A172" s="14" t="s">
        <v>96</v>
      </c>
      <c r="B172" s="28">
        <f>25366000/1000000</f>
        <v>25.366</v>
      </c>
      <c r="C172" s="28">
        <v>9.24</v>
      </c>
      <c r="D172" s="28">
        <v>3.7749999999999999</v>
      </c>
      <c r="E172" s="28">
        <v>9.4359999999999999</v>
      </c>
      <c r="F172" s="11">
        <f>SUM(B172:E172)</f>
        <v>47.817</v>
      </c>
    </row>
    <row r="173" spans="1:7" x14ac:dyDescent="0.25">
      <c r="A173" s="70"/>
      <c r="B173" s="70"/>
      <c r="C173" s="70"/>
      <c r="D173" s="70"/>
      <c r="E173" s="70"/>
      <c r="F173" s="70"/>
      <c r="G173" s="70"/>
    </row>
    <row r="174" spans="1:7" x14ac:dyDescent="0.25">
      <c r="A174" s="71" t="s">
        <v>99</v>
      </c>
      <c r="B174" s="72"/>
      <c r="C174" s="72"/>
      <c r="D174" s="72"/>
      <c r="E174" s="72"/>
      <c r="F174" s="73"/>
    </row>
    <row r="175" spans="1:7" x14ac:dyDescent="0.25">
      <c r="A175" s="14" t="s">
        <v>98</v>
      </c>
      <c r="B175" s="28">
        <v>183</v>
      </c>
      <c r="C175" s="28">
        <v>332</v>
      </c>
      <c r="D175" s="28">
        <v>163</v>
      </c>
      <c r="E175" s="28">
        <v>34</v>
      </c>
      <c r="F175" s="28">
        <f>SUM(B175:E175)</f>
        <v>712</v>
      </c>
    </row>
    <row r="176" spans="1:7" x14ac:dyDescent="0.25">
      <c r="A176" s="14" t="s">
        <v>96</v>
      </c>
      <c r="B176" s="28">
        <f>12810000/1000000</f>
        <v>12.81</v>
      </c>
      <c r="C176" s="28">
        <v>34.83</v>
      </c>
      <c r="D176" s="28">
        <v>9.4410000000000007</v>
      </c>
      <c r="E176" s="28">
        <v>3.44</v>
      </c>
      <c r="F176" s="11">
        <f>SUM(B176:E176)</f>
        <v>60.521000000000001</v>
      </c>
    </row>
    <row r="177" spans="1:7" x14ac:dyDescent="0.25">
      <c r="A177" s="70"/>
      <c r="B177" s="70"/>
      <c r="C177" s="70"/>
      <c r="D177" s="70"/>
      <c r="E177" s="70"/>
      <c r="F177" s="70"/>
      <c r="G177" s="70"/>
    </row>
    <row r="178" spans="1:7" x14ac:dyDescent="0.25">
      <c r="A178" s="71" t="s">
        <v>100</v>
      </c>
      <c r="B178" s="72"/>
      <c r="C178" s="72"/>
      <c r="D178" s="72"/>
      <c r="E178" s="72"/>
      <c r="F178" s="73"/>
    </row>
    <row r="179" spans="1:7" x14ac:dyDescent="0.25">
      <c r="A179" s="14" t="s">
        <v>98</v>
      </c>
      <c r="B179" s="28">
        <v>347</v>
      </c>
      <c r="C179" s="28">
        <v>174599</v>
      </c>
      <c r="D179" s="28">
        <v>0</v>
      </c>
      <c r="E179" s="28">
        <v>0</v>
      </c>
      <c r="F179" s="28">
        <f>SUM(B179:E179)</f>
        <v>174946</v>
      </c>
    </row>
    <row r="180" spans="1:7" x14ac:dyDescent="0.25">
      <c r="A180" s="14" t="s">
        <v>96</v>
      </c>
      <c r="B180" s="28">
        <f>10790000/1000000</f>
        <v>10.79</v>
      </c>
      <c r="C180" s="28">
        <v>3074.3662388703301</v>
      </c>
      <c r="D180" s="28">
        <v>0</v>
      </c>
      <c r="E180" s="28">
        <v>0</v>
      </c>
      <c r="F180" s="11">
        <f>SUM(B180:E180)</f>
        <v>3085.1562388703301</v>
      </c>
    </row>
    <row r="181" spans="1:7" x14ac:dyDescent="0.25">
      <c r="A181" s="70"/>
      <c r="B181" s="70"/>
      <c r="C181" s="70"/>
      <c r="D181" s="70"/>
      <c r="E181" s="70"/>
      <c r="F181" s="70"/>
      <c r="G181" s="70"/>
    </row>
    <row r="182" spans="1:7" x14ac:dyDescent="0.25">
      <c r="A182" s="69" t="s">
        <v>101</v>
      </c>
      <c r="B182" s="69"/>
      <c r="C182" s="69"/>
      <c r="D182" s="69"/>
      <c r="E182" s="69"/>
      <c r="F182" s="69"/>
    </row>
    <row r="183" spans="1:7" x14ac:dyDescent="0.25">
      <c r="A183" s="18" t="s">
        <v>102</v>
      </c>
      <c r="B183" s="19">
        <f>+B179+B175+B171+B167</f>
        <v>1954</v>
      </c>
      <c r="C183" s="46">
        <v>179350</v>
      </c>
      <c r="D183" s="19">
        <v>412</v>
      </c>
      <c r="E183" s="19">
        <f>+E179+E175+E171+E167</f>
        <v>1016</v>
      </c>
      <c r="F183" s="19">
        <f>SUM(B183:E183)</f>
        <v>182732</v>
      </c>
    </row>
    <row r="184" spans="1:7" x14ac:dyDescent="0.25">
      <c r="A184" s="18" t="s">
        <v>103</v>
      </c>
      <c r="B184" s="19">
        <f>+B180+B176+B172+B168</f>
        <v>55.741</v>
      </c>
      <c r="C184" s="46">
        <v>3212.17031887033</v>
      </c>
      <c r="D184" s="19">
        <v>15.666</v>
      </c>
      <c r="E184" s="19">
        <f>+E180+E176+E172+E168</f>
        <v>32.488</v>
      </c>
      <c r="F184" s="22">
        <f>SUM(B184:E184)</f>
        <v>3316.06531887033</v>
      </c>
    </row>
    <row r="185" spans="1:7" x14ac:dyDescent="0.25">
      <c r="A185" s="70"/>
      <c r="B185" s="70"/>
      <c r="C185" s="70"/>
      <c r="D185" s="70"/>
      <c r="E185" s="70"/>
      <c r="F185" s="70"/>
      <c r="G185" s="70"/>
    </row>
    <row r="186" spans="1:7" x14ac:dyDescent="0.25">
      <c r="A186" s="69" t="s">
        <v>104</v>
      </c>
      <c r="B186" s="69"/>
      <c r="C186" s="69"/>
      <c r="D186" s="69"/>
      <c r="E186" s="69"/>
      <c r="F186" s="69"/>
    </row>
    <row r="187" spans="1:7" x14ac:dyDescent="0.25">
      <c r="A187" s="14" t="s">
        <v>105</v>
      </c>
      <c r="B187" s="28">
        <v>2943</v>
      </c>
      <c r="C187" s="28">
        <v>6212</v>
      </c>
      <c r="D187" s="28">
        <v>59</v>
      </c>
      <c r="E187" s="28">
        <f>E166+E171+E175+E179+E162</f>
        <v>26457</v>
      </c>
      <c r="F187" s="28">
        <f>SUM(B187:E187)</f>
        <v>35671</v>
      </c>
    </row>
    <row r="188" spans="1:7" x14ac:dyDescent="0.25">
      <c r="A188" s="14" t="s">
        <v>106</v>
      </c>
      <c r="B188" s="28">
        <f>24398751/1000000</f>
        <v>24.398751000000001</v>
      </c>
      <c r="C188" s="28">
        <v>380.11115899999999</v>
      </c>
      <c r="D188" s="28">
        <v>2.2549999999999999</v>
      </c>
      <c r="E188" s="28">
        <f>E167+E172+E176+E180+E163</f>
        <v>738.78890500000011</v>
      </c>
      <c r="F188" s="11">
        <f>SUM(B188:E188)</f>
        <v>1145.5538150000002</v>
      </c>
    </row>
    <row r="189" spans="1:7" x14ac:dyDescent="0.25">
      <c r="A189" s="70"/>
      <c r="B189" s="70"/>
      <c r="C189" s="70"/>
      <c r="D189" s="70"/>
      <c r="E189" s="70"/>
      <c r="F189" s="70"/>
      <c r="G189" s="70"/>
    </row>
    <row r="190" spans="1:7" x14ac:dyDescent="0.25">
      <c r="A190" s="69" t="s">
        <v>107</v>
      </c>
      <c r="B190" s="69"/>
      <c r="C190" s="69"/>
      <c r="D190" s="69"/>
      <c r="E190" s="69"/>
      <c r="F190" s="69"/>
    </row>
    <row r="191" spans="1:7" x14ac:dyDescent="0.25">
      <c r="A191" s="18" t="s">
        <v>108</v>
      </c>
      <c r="B191" s="19">
        <f>B187+B162+B183</f>
        <v>7682</v>
      </c>
      <c r="C191" s="46">
        <v>224138</v>
      </c>
      <c r="D191" s="19">
        <v>4769</v>
      </c>
      <c r="E191" s="19">
        <f>E158+E162+E183+E187</f>
        <v>54681</v>
      </c>
      <c r="F191" s="19">
        <f>SUM(B191:E191)</f>
        <v>291270</v>
      </c>
    </row>
    <row r="192" spans="1:7" x14ac:dyDescent="0.25">
      <c r="A192" s="18" t="s">
        <v>109</v>
      </c>
      <c r="B192" s="19">
        <f>B188+B163+B184</f>
        <v>142.10257799999999</v>
      </c>
      <c r="C192" s="46">
        <v>3860.4744608703299</v>
      </c>
      <c r="D192" s="19">
        <v>92.420317999999995</v>
      </c>
      <c r="E192" s="19">
        <f>E159+E184+E163+E188</f>
        <v>959.39906000000008</v>
      </c>
      <c r="F192" s="22">
        <f>SUM(B192:E192)</f>
        <v>5054.3964168703296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B0CC6-56FD-45BD-A24E-24C9089544EC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0" t="s">
        <v>1</v>
      </c>
      <c r="D2" s="91"/>
      <c r="E2" s="91"/>
      <c r="F2" s="91"/>
      <c r="G2" s="9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9" t="s">
        <v>7</v>
      </c>
      <c r="C4" s="80"/>
      <c r="D4" s="80"/>
      <c r="E4" s="80"/>
      <c r="F4" s="80"/>
      <c r="G4" s="81"/>
    </row>
    <row r="5" spans="1:7" x14ac:dyDescent="0.25">
      <c r="B5" s="75" t="s">
        <v>8</v>
      </c>
      <c r="C5" s="76"/>
      <c r="D5" s="76"/>
      <c r="E5" s="76"/>
      <c r="F5" s="76"/>
      <c r="G5" s="77"/>
    </row>
    <row r="6" spans="1:7" x14ac:dyDescent="0.25">
      <c r="B6" s="4" t="s">
        <v>9</v>
      </c>
      <c r="C6" s="12">
        <v>55112</v>
      </c>
      <c r="D6" s="12">
        <v>8204</v>
      </c>
      <c r="E6" s="12">
        <v>8451</v>
      </c>
      <c r="F6" s="12">
        <v>10015</v>
      </c>
      <c r="G6" s="12">
        <f>+F6+E6+D6+C6</f>
        <v>81782</v>
      </c>
    </row>
    <row r="7" spans="1:7" x14ac:dyDescent="0.25">
      <c r="B7" s="14" t="s">
        <v>10</v>
      </c>
      <c r="C7" s="12">
        <v>536</v>
      </c>
      <c r="D7" s="12">
        <v>252</v>
      </c>
      <c r="E7" s="12">
        <v>25</v>
      </c>
      <c r="F7" s="12">
        <v>150</v>
      </c>
      <c r="G7" s="12">
        <f>+F7+E7+D7+C7</f>
        <v>963</v>
      </c>
    </row>
    <row r="8" spans="1:7" x14ac:dyDescent="0.25">
      <c r="B8" s="18" t="s">
        <v>11</v>
      </c>
      <c r="C8" s="25">
        <f>SUM(C6:C7)</f>
        <v>55648</v>
      </c>
      <c r="D8" s="25">
        <v>8456</v>
      </c>
      <c r="E8" s="25">
        <v>8476</v>
      </c>
      <c r="F8" s="25">
        <v>10165</v>
      </c>
      <c r="G8" s="25">
        <f>+F8+E8+D8+C8</f>
        <v>82745</v>
      </c>
    </row>
    <row r="9" spans="1:7" x14ac:dyDescent="0.25">
      <c r="B9" s="70"/>
      <c r="C9" s="70"/>
      <c r="D9" s="70"/>
      <c r="E9" s="70"/>
      <c r="F9" s="70"/>
      <c r="G9" s="70"/>
    </row>
    <row r="10" spans="1:7" x14ac:dyDescent="0.25">
      <c r="B10" s="75" t="s">
        <v>12</v>
      </c>
      <c r="C10" s="76"/>
      <c r="D10" s="76"/>
      <c r="E10" s="76"/>
      <c r="F10" s="76"/>
      <c r="G10" s="77"/>
    </row>
    <row r="11" spans="1:7" x14ac:dyDescent="0.25">
      <c r="B11" s="71" t="s">
        <v>13</v>
      </c>
      <c r="C11" s="72"/>
      <c r="D11" s="72"/>
      <c r="E11" s="72"/>
      <c r="F11" s="72"/>
      <c r="G11" s="73"/>
    </row>
    <row r="12" spans="1:7" x14ac:dyDescent="0.25">
      <c r="B12" s="16" t="s">
        <v>14</v>
      </c>
      <c r="C12" s="12">
        <v>810039</v>
      </c>
      <c r="D12" s="12">
        <v>113593</v>
      </c>
      <c r="E12" s="12">
        <v>44723</v>
      </c>
      <c r="F12" s="12">
        <v>0</v>
      </c>
      <c r="G12" s="17">
        <f>SUM(C12:F12)</f>
        <v>968355</v>
      </c>
    </row>
    <row r="13" spans="1:7" x14ac:dyDescent="0.25">
      <c r="B13" s="16" t="s">
        <v>15</v>
      </c>
      <c r="C13" s="12">
        <v>2385868</v>
      </c>
      <c r="D13" s="12">
        <v>562780</v>
      </c>
      <c r="E13" s="12">
        <v>231658</v>
      </c>
      <c r="F13" s="12">
        <v>0</v>
      </c>
      <c r="G13" s="17">
        <f>SUM(C13:F13)</f>
        <v>3180306</v>
      </c>
    </row>
    <row r="14" spans="1:7" x14ac:dyDescent="0.25">
      <c r="B14" s="18" t="s">
        <v>16</v>
      </c>
      <c r="C14" s="25">
        <f>C13+C12</f>
        <v>3195907</v>
      </c>
      <c r="D14" s="25">
        <v>969937</v>
      </c>
      <c r="E14" s="25">
        <v>276381</v>
      </c>
      <c r="F14" s="25">
        <v>145638</v>
      </c>
      <c r="G14" s="19">
        <f>SUM(C14:F14)</f>
        <v>4587863</v>
      </c>
    </row>
    <row r="15" spans="1:7" x14ac:dyDescent="0.25">
      <c r="B15" s="18" t="s">
        <v>17</v>
      </c>
      <c r="C15" s="25">
        <v>471163</v>
      </c>
      <c r="D15" s="25">
        <v>158528</v>
      </c>
      <c r="E15" s="25">
        <v>3194</v>
      </c>
      <c r="F15" s="25">
        <v>360000</v>
      </c>
      <c r="G15" s="19">
        <f>SUM(C15:F15)</f>
        <v>992885</v>
      </c>
    </row>
    <row r="16" spans="1:7" x14ac:dyDescent="0.25">
      <c r="B16" s="18" t="s">
        <v>18</v>
      </c>
      <c r="C16" s="25">
        <f>C15+C14</f>
        <v>3667070</v>
      </c>
      <c r="D16" s="25">
        <v>1128465</v>
      </c>
      <c r="E16" s="25">
        <v>279575</v>
      </c>
      <c r="F16" s="25">
        <v>505638</v>
      </c>
      <c r="G16" s="19">
        <f>SUM(C16:F16)</f>
        <v>5580748</v>
      </c>
    </row>
    <row r="17" spans="2:8" x14ac:dyDescent="0.25">
      <c r="B17" s="70"/>
      <c r="C17" s="70"/>
      <c r="D17" s="70"/>
      <c r="E17" s="70"/>
      <c r="F17" s="70"/>
      <c r="G17" s="70"/>
    </row>
    <row r="18" spans="2:8" x14ac:dyDescent="0.25">
      <c r="B18" s="71" t="s">
        <v>19</v>
      </c>
      <c r="C18" s="72"/>
      <c r="D18" s="72"/>
      <c r="E18" s="72"/>
      <c r="F18" s="72"/>
      <c r="G18" s="73"/>
    </row>
    <row r="19" spans="2:8" x14ac:dyDescent="0.25">
      <c r="B19" s="14" t="s">
        <v>20</v>
      </c>
      <c r="C19" s="12">
        <v>3512</v>
      </c>
      <c r="D19" s="12">
        <v>4</v>
      </c>
      <c r="E19" s="12">
        <v>0</v>
      </c>
      <c r="F19" s="12">
        <v>0</v>
      </c>
      <c r="G19" s="28">
        <f>SUM(C19:F19)</f>
        <v>3516</v>
      </c>
    </row>
    <row r="20" spans="2:8" x14ac:dyDescent="0.25">
      <c r="B20" s="93"/>
      <c r="C20" s="93"/>
      <c r="D20" s="93"/>
      <c r="E20" s="93"/>
      <c r="F20" s="93"/>
      <c r="G20" s="93"/>
    </row>
    <row r="21" spans="2:8" x14ac:dyDescent="0.25">
      <c r="B21" s="65" t="s">
        <v>21</v>
      </c>
      <c r="C21" s="64">
        <f>+C19+C16</f>
        <v>3670582</v>
      </c>
      <c r="D21" s="64">
        <v>1128469</v>
      </c>
      <c r="E21" s="64">
        <v>279575</v>
      </c>
      <c r="F21" s="64">
        <f>F16</f>
        <v>505638</v>
      </c>
      <c r="G21" s="66">
        <f>SUM(C21:F21)</f>
        <v>5584264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64">
        <v>401686</v>
      </c>
      <c r="D24" s="64">
        <v>198899</v>
      </c>
      <c r="E24" s="64">
        <v>138767</v>
      </c>
      <c r="F24" s="64">
        <v>681517</v>
      </c>
      <c r="G24" s="19">
        <f>SUM(C24:F24)</f>
        <v>1420869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64">
        <f>+C24+C21</f>
        <v>4072268</v>
      </c>
      <c r="D27" s="64">
        <f>+D24+D21</f>
        <v>1327368</v>
      </c>
      <c r="E27" s="64">
        <f>+E21+E24</f>
        <v>418342</v>
      </c>
      <c r="F27" s="64">
        <f>+F24+F21</f>
        <v>1187155</v>
      </c>
      <c r="G27" s="19">
        <f>SUM(C27:F27)</f>
        <v>7005133</v>
      </c>
    </row>
    <row r="28" spans="2:8" x14ac:dyDescent="0.25">
      <c r="B28" s="70"/>
      <c r="C28" s="70"/>
      <c r="D28" s="70"/>
      <c r="E28" s="70"/>
      <c r="F28" s="70"/>
      <c r="G28" s="70"/>
      <c r="H28" s="70"/>
    </row>
    <row r="29" spans="2:8" x14ac:dyDescent="0.25">
      <c r="B29" s="75" t="s">
        <v>26</v>
      </c>
      <c r="C29" s="76"/>
      <c r="D29" s="76"/>
      <c r="E29" s="76"/>
      <c r="F29" s="76"/>
      <c r="G29" s="77"/>
    </row>
    <row r="30" spans="2:8" x14ac:dyDescent="0.25">
      <c r="B30" s="14" t="s">
        <v>27</v>
      </c>
      <c r="C30" s="28">
        <v>1279075</v>
      </c>
      <c r="D30" s="28">
        <v>127145</v>
      </c>
      <c r="E30" s="28">
        <v>78292</v>
      </c>
      <c r="F30" s="28">
        <v>210865</v>
      </c>
      <c r="G30" s="28">
        <f>SUM(C30:F30)</f>
        <v>1695377</v>
      </c>
    </row>
    <row r="31" spans="2:8" x14ac:dyDescent="0.25">
      <c r="B31" s="70"/>
      <c r="C31" s="70"/>
      <c r="D31" s="70"/>
      <c r="E31" s="70"/>
      <c r="F31" s="70"/>
      <c r="G31" s="70"/>
      <c r="H31" s="70"/>
    </row>
    <row r="32" spans="2:8" x14ac:dyDescent="0.25">
      <c r="B32" s="75" t="s">
        <v>28</v>
      </c>
      <c r="C32" s="76"/>
      <c r="D32" s="76"/>
      <c r="E32" s="76"/>
      <c r="F32" s="76"/>
      <c r="G32" s="77"/>
    </row>
    <row r="33" spans="2:9" x14ac:dyDescent="0.25">
      <c r="B33" s="14" t="s">
        <v>29</v>
      </c>
      <c r="C33" s="28">
        <v>3865772457434</v>
      </c>
      <c r="D33" s="28">
        <v>686021437081</v>
      </c>
      <c r="E33" s="28">
        <v>247188846248</v>
      </c>
      <c r="F33" s="28">
        <v>457840179402</v>
      </c>
      <c r="G33" s="28">
        <f>SUM(C33:F33)</f>
        <v>5256822920165</v>
      </c>
    </row>
    <row r="34" spans="2:9" x14ac:dyDescent="0.25">
      <c r="B34" s="14" t="s">
        <v>30</v>
      </c>
      <c r="C34" s="28">
        <v>169617091057</v>
      </c>
      <c r="D34" s="28">
        <v>69944543244</v>
      </c>
      <c r="E34" s="28">
        <v>41027238700</v>
      </c>
      <c r="F34" s="28">
        <v>202542577944</v>
      </c>
      <c r="G34" s="28">
        <f>SUM(C34:F34)</f>
        <v>483131450945</v>
      </c>
    </row>
    <row r="35" spans="2:9" x14ac:dyDescent="0.25">
      <c r="B35" s="41" t="s">
        <v>31</v>
      </c>
      <c r="C35" s="64">
        <v>4035389548491</v>
      </c>
      <c r="D35" s="64">
        <f>+D34+D33</f>
        <v>755965980325</v>
      </c>
      <c r="E35" s="64">
        <v>288216084948</v>
      </c>
      <c r="F35" s="64">
        <v>660382757346</v>
      </c>
      <c r="G35" s="42">
        <f>SUM(C35:F35)</f>
        <v>5739954371110</v>
      </c>
    </row>
    <row r="36" spans="2:9" x14ac:dyDescent="0.25">
      <c r="B36" s="94" t="s">
        <v>32</v>
      </c>
      <c r="C36" s="94"/>
      <c r="D36" s="94"/>
      <c r="E36" s="94"/>
      <c r="F36" s="94"/>
      <c r="G36" s="94"/>
      <c r="H36" s="94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79" t="s">
        <v>33</v>
      </c>
      <c r="C38" s="80"/>
      <c r="D38" s="80"/>
      <c r="E38" s="80"/>
      <c r="F38" s="80"/>
      <c r="G38" s="81"/>
    </row>
    <row r="39" spans="2:9" x14ac:dyDescent="0.25">
      <c r="B39" s="75" t="s">
        <v>34</v>
      </c>
      <c r="C39" s="76"/>
      <c r="D39" s="76"/>
      <c r="E39" s="76"/>
      <c r="F39" s="76"/>
      <c r="G39" s="77"/>
    </row>
    <row r="40" spans="2:9" x14ac:dyDescent="0.25">
      <c r="B40" s="14" t="s">
        <v>35</v>
      </c>
      <c r="C40" s="28">
        <v>794366</v>
      </c>
      <c r="D40" s="28">
        <v>116578</v>
      </c>
      <c r="E40" s="28">
        <v>55959</v>
      </c>
      <c r="F40" s="28">
        <v>70902</v>
      </c>
      <c r="G40" s="28">
        <f>SUM(C40:F40)</f>
        <v>1037805</v>
      </c>
      <c r="H40" s="7"/>
      <c r="I40" s="7"/>
    </row>
    <row r="41" spans="2:9" x14ac:dyDescent="0.25">
      <c r="B41" s="14" t="s">
        <v>36</v>
      </c>
      <c r="C41" s="28">
        <v>4757.7369820000004</v>
      </c>
      <c r="D41" s="28">
        <v>1263.984189</v>
      </c>
      <c r="E41" s="28">
        <v>587</v>
      </c>
      <c r="F41" s="28">
        <v>716.00900799999999</v>
      </c>
      <c r="G41" s="11">
        <f>SUM(C41:F41)</f>
        <v>7324.7301790000001</v>
      </c>
      <c r="H41" s="7"/>
      <c r="I41" s="7"/>
    </row>
    <row r="42" spans="2:9" x14ac:dyDescent="0.25">
      <c r="B42" s="70"/>
      <c r="C42" s="70"/>
      <c r="D42" s="70"/>
      <c r="E42" s="70"/>
      <c r="F42" s="70"/>
      <c r="G42" s="70"/>
      <c r="H42" s="70"/>
      <c r="I42" s="7"/>
    </row>
    <row r="43" spans="2:9" x14ac:dyDescent="0.25">
      <c r="B43" s="69" t="s">
        <v>37</v>
      </c>
      <c r="C43" s="69"/>
      <c r="D43" s="69"/>
      <c r="E43" s="69"/>
      <c r="F43" s="69"/>
      <c r="G43" s="69"/>
      <c r="I43" s="7"/>
    </row>
    <row r="44" spans="2:9" x14ac:dyDescent="0.25">
      <c r="B44" s="14" t="s">
        <v>38</v>
      </c>
      <c r="C44" s="28">
        <v>7</v>
      </c>
      <c r="D44" s="28">
        <v>11</v>
      </c>
      <c r="E44" s="28">
        <v>5</v>
      </c>
      <c r="F44" s="28">
        <v>1</v>
      </c>
      <c r="G44" s="28">
        <f>SUM(C44:F44)</f>
        <v>24</v>
      </c>
      <c r="H44" s="7"/>
      <c r="I44" s="7"/>
    </row>
    <row r="45" spans="2:9" x14ac:dyDescent="0.25">
      <c r="B45" s="14" t="s">
        <v>39</v>
      </c>
      <c r="C45" s="28">
        <f>4669824/1000000</f>
        <v>4.6698240000000002</v>
      </c>
      <c r="D45" s="28">
        <v>0.15026800000000001</v>
      </c>
      <c r="E45" s="28">
        <v>0.04</v>
      </c>
      <c r="F45" s="28">
        <v>0.121561</v>
      </c>
      <c r="G45" s="11">
        <f>SUM(C45:F45)</f>
        <v>4.9816529999999997</v>
      </c>
      <c r="H45" s="7"/>
      <c r="I45" s="7"/>
    </row>
    <row r="46" spans="2:9" x14ac:dyDescent="0.25">
      <c r="B46" s="70"/>
      <c r="C46" s="70"/>
      <c r="D46" s="70"/>
      <c r="E46" s="70"/>
      <c r="F46" s="70"/>
      <c r="G46" s="70"/>
      <c r="H46" s="70"/>
      <c r="I46" s="7"/>
    </row>
    <row r="47" spans="2:9" x14ac:dyDescent="0.25">
      <c r="B47" s="69" t="s">
        <v>40</v>
      </c>
      <c r="C47" s="69"/>
      <c r="D47" s="69"/>
      <c r="E47" s="69"/>
      <c r="F47" s="69"/>
      <c r="G47" s="69"/>
      <c r="I47" s="7"/>
    </row>
    <row r="48" spans="2:9" x14ac:dyDescent="0.25">
      <c r="B48" s="14" t="s">
        <v>41</v>
      </c>
      <c r="C48" s="28">
        <v>140852</v>
      </c>
      <c r="D48" s="28">
        <v>73377</v>
      </c>
      <c r="E48" s="28">
        <v>12745</v>
      </c>
      <c r="F48" s="28">
        <v>64447</v>
      </c>
      <c r="G48" s="28">
        <f>SUM(C48:F48)</f>
        <v>291421</v>
      </c>
      <c r="H48" s="7"/>
      <c r="I48" s="7"/>
    </row>
    <row r="49" spans="2:9" x14ac:dyDescent="0.25">
      <c r="B49" s="14" t="s">
        <v>42</v>
      </c>
      <c r="C49" s="28">
        <f>(86488979674+1707358841)/1000000</f>
        <v>88196.338514999996</v>
      </c>
      <c r="D49" s="28">
        <v>28380</v>
      </c>
      <c r="E49" s="28">
        <v>11189</v>
      </c>
      <c r="F49" s="28">
        <v>12523.248165000001</v>
      </c>
      <c r="G49" s="11">
        <f>SUM(C49:F49)</f>
        <v>140288.58668000001</v>
      </c>
      <c r="H49" s="7"/>
      <c r="I49" s="7"/>
    </row>
    <row r="50" spans="2:9" x14ac:dyDescent="0.25">
      <c r="B50" s="70"/>
      <c r="C50" s="70"/>
      <c r="D50" s="70"/>
      <c r="E50" s="70"/>
      <c r="F50" s="70"/>
      <c r="G50" s="70"/>
      <c r="H50" s="70"/>
    </row>
    <row r="51" spans="2:9" ht="21" x14ac:dyDescent="0.35">
      <c r="B51" s="79" t="s">
        <v>43</v>
      </c>
      <c r="C51" s="80"/>
      <c r="D51" s="80"/>
      <c r="E51" s="80"/>
      <c r="F51" s="80"/>
      <c r="G51" s="81"/>
    </row>
    <row r="52" spans="2:9" x14ac:dyDescent="0.25">
      <c r="B52" s="89"/>
      <c r="C52" s="89"/>
      <c r="D52" s="89"/>
      <c r="E52" s="89"/>
      <c r="F52" s="89"/>
      <c r="G52" s="89"/>
      <c r="H52" s="89"/>
    </row>
    <row r="53" spans="2:9" x14ac:dyDescent="0.25">
      <c r="B53" s="69" t="s">
        <v>44</v>
      </c>
      <c r="C53" s="69"/>
      <c r="D53" s="69"/>
      <c r="E53" s="69"/>
      <c r="F53" s="69"/>
      <c r="G53" s="69"/>
    </row>
    <row r="54" spans="2:9" x14ac:dyDescent="0.25">
      <c r="B54" s="74" t="s">
        <v>45</v>
      </c>
      <c r="C54" s="74"/>
      <c r="D54" s="74"/>
      <c r="E54" s="74"/>
      <c r="F54" s="74"/>
      <c r="G54" s="74"/>
    </row>
    <row r="55" spans="2:9" x14ac:dyDescent="0.25">
      <c r="B55" s="14" t="s">
        <v>46</v>
      </c>
      <c r="C55" s="28">
        <v>100392</v>
      </c>
      <c r="D55" s="28">
        <v>5269</v>
      </c>
      <c r="E55" s="28">
        <v>1518</v>
      </c>
      <c r="F55" s="28">
        <v>5391</v>
      </c>
      <c r="G55" s="28">
        <f t="shared" ref="G55:G71" si="0">SUM(C55:F55)</f>
        <v>112570</v>
      </c>
    </row>
    <row r="56" spans="2:9" x14ac:dyDescent="0.25">
      <c r="B56" s="14" t="s">
        <v>47</v>
      </c>
      <c r="C56" s="28">
        <v>61865.382040999997</v>
      </c>
      <c r="D56" s="28">
        <v>6679.7635930000597</v>
      </c>
      <c r="E56" s="28">
        <v>2138</v>
      </c>
      <c r="F56" s="28">
        <v>13845</v>
      </c>
      <c r="G56" s="28">
        <f t="shared" si="0"/>
        <v>84528.145634000059</v>
      </c>
    </row>
    <row r="57" spans="2:9" x14ac:dyDescent="0.25">
      <c r="B57" s="14" t="s">
        <v>48</v>
      </c>
      <c r="C57" s="28">
        <v>12.0252012112519</v>
      </c>
      <c r="D57" s="28">
        <v>37</v>
      </c>
      <c r="E57" s="28">
        <v>20</v>
      </c>
      <c r="F57" s="28">
        <v>32</v>
      </c>
      <c r="G57" s="28">
        <f>AVERAGE(C57:F57)</f>
        <v>25.256300302812974</v>
      </c>
    </row>
    <row r="58" spans="2:9" x14ac:dyDescent="0.25">
      <c r="B58" s="14" t="s">
        <v>49</v>
      </c>
      <c r="C58" s="28">
        <v>788216</v>
      </c>
      <c r="D58" s="28">
        <v>144562</v>
      </c>
      <c r="E58" s="97">
        <v>51425</v>
      </c>
      <c r="F58" s="28">
        <v>77717</v>
      </c>
      <c r="G58" s="28">
        <f t="shared" si="0"/>
        <v>1061920</v>
      </c>
    </row>
    <row r="59" spans="2:9" x14ac:dyDescent="0.25">
      <c r="B59" s="14" t="s">
        <v>50</v>
      </c>
      <c r="C59" s="28">
        <v>1778304.1643930001</v>
      </c>
      <c r="D59" s="28">
        <v>262240.80643200001</v>
      </c>
      <c r="E59" s="97">
        <v>109274.35333500001</v>
      </c>
      <c r="F59" s="28">
        <v>177909</v>
      </c>
      <c r="G59" s="11">
        <f t="shared" si="0"/>
        <v>2327728.3241600003</v>
      </c>
    </row>
    <row r="60" spans="2:9" x14ac:dyDescent="0.25">
      <c r="B60" s="74" t="s">
        <v>51</v>
      </c>
      <c r="C60" s="74"/>
      <c r="D60" s="74"/>
      <c r="E60" s="74"/>
      <c r="F60" s="74"/>
      <c r="G60" s="7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4" t="s">
        <v>52</v>
      </c>
      <c r="C66" s="74"/>
      <c r="D66" s="74"/>
      <c r="E66" s="74"/>
      <c r="F66" s="74"/>
      <c r="G66" s="74"/>
    </row>
    <row r="67" spans="2:8" x14ac:dyDescent="0.25">
      <c r="B67" s="14" t="s">
        <v>46</v>
      </c>
      <c r="C67" s="28">
        <v>7275</v>
      </c>
      <c r="D67" s="28">
        <v>1746</v>
      </c>
      <c r="E67" s="28">
        <v>1500</v>
      </c>
      <c r="F67" s="28">
        <v>12993</v>
      </c>
      <c r="G67" s="28">
        <f t="shared" si="0"/>
        <v>23514</v>
      </c>
    </row>
    <row r="68" spans="2:8" x14ac:dyDescent="0.25">
      <c r="B68" s="14" t="s">
        <v>47</v>
      </c>
      <c r="C68" s="28">
        <v>5431.9408030000004</v>
      </c>
      <c r="D68" s="28">
        <v>1695.2982529999999</v>
      </c>
      <c r="E68" s="28">
        <v>1533</v>
      </c>
      <c r="F68" s="28">
        <v>17000</v>
      </c>
      <c r="G68" s="28">
        <f t="shared" si="0"/>
        <v>25660.239055999999</v>
      </c>
    </row>
    <row r="69" spans="2:8" x14ac:dyDescent="0.25">
      <c r="B69" s="14" t="s">
        <v>48</v>
      </c>
      <c r="C69" s="28">
        <v>37.694707903780099</v>
      </c>
      <c r="D69" s="28">
        <v>54</v>
      </c>
      <c r="E69" s="28">
        <v>48</v>
      </c>
      <c r="F69" s="28">
        <v>39</v>
      </c>
      <c r="G69" s="28">
        <f>AVERAGE(C69:F69)</f>
        <v>44.673676975945028</v>
      </c>
    </row>
    <row r="70" spans="2:8" x14ac:dyDescent="0.25">
      <c r="B70" s="14" t="s">
        <v>49</v>
      </c>
      <c r="C70" s="28">
        <v>135030</v>
      </c>
      <c r="D70" s="28">
        <v>87537</v>
      </c>
      <c r="E70" s="28">
        <v>61287</v>
      </c>
      <c r="F70" s="28">
        <v>269840</v>
      </c>
      <c r="G70" s="28">
        <f t="shared" si="0"/>
        <v>553694</v>
      </c>
    </row>
    <row r="71" spans="2:8" x14ac:dyDescent="0.25">
      <c r="B71" s="14" t="s">
        <v>50</v>
      </c>
      <c r="C71" s="28">
        <v>137741.91128900001</v>
      </c>
      <c r="D71" s="28">
        <v>100780.591982</v>
      </c>
      <c r="E71" s="28">
        <v>63115.671635999999</v>
      </c>
      <c r="F71" s="28">
        <v>242511</v>
      </c>
      <c r="G71" s="11">
        <f t="shared" si="0"/>
        <v>544149.17490700004</v>
      </c>
    </row>
    <row r="72" spans="2:8" x14ac:dyDescent="0.25">
      <c r="B72" s="83" t="s">
        <v>53</v>
      </c>
      <c r="C72" s="84"/>
      <c r="D72" s="84"/>
      <c r="E72" s="84"/>
      <c r="F72" s="84"/>
      <c r="G72" s="85"/>
    </row>
    <row r="73" spans="2:8" x14ac:dyDescent="0.25">
      <c r="B73" s="18" t="s">
        <v>54</v>
      </c>
      <c r="C73" s="19">
        <f>+C55+C67</f>
        <v>107667</v>
      </c>
      <c r="D73" s="19">
        <v>7015</v>
      </c>
      <c r="E73" s="19">
        <v>3018</v>
      </c>
      <c r="F73" s="19">
        <v>18384</v>
      </c>
      <c r="G73" s="19">
        <f>SUM(C73:F73)</f>
        <v>136084</v>
      </c>
    </row>
    <row r="74" spans="2:8" x14ac:dyDescent="0.25">
      <c r="B74" s="18" t="s">
        <v>47</v>
      </c>
      <c r="C74" s="19">
        <f>+C56+C68</f>
        <v>67297.322843999995</v>
      </c>
      <c r="D74" s="19">
        <v>8375.0618460000587</v>
      </c>
      <c r="E74" s="19">
        <v>3671</v>
      </c>
      <c r="F74" s="19">
        <v>30845</v>
      </c>
      <c r="G74" s="22">
        <f>SUM(C74:F74)</f>
        <v>110188.38469000005</v>
      </c>
    </row>
    <row r="75" spans="2:8" x14ac:dyDescent="0.25">
      <c r="B75" s="18" t="s">
        <v>48</v>
      </c>
      <c r="C75" s="19">
        <v>13.759675666638801</v>
      </c>
      <c r="D75" s="19">
        <v>30.333333333333332</v>
      </c>
      <c r="E75" s="19">
        <v>34</v>
      </c>
      <c r="F75" s="19">
        <v>35.5</v>
      </c>
      <c r="G75" s="19">
        <f>AVERAGE(C75:F75)</f>
        <v>28.398252249993035</v>
      </c>
    </row>
    <row r="76" spans="2:8" x14ac:dyDescent="0.25">
      <c r="B76" s="18" t="s">
        <v>49</v>
      </c>
      <c r="C76" s="19">
        <f>+C58+C70</f>
        <v>923246</v>
      </c>
      <c r="D76" s="19">
        <v>232099</v>
      </c>
      <c r="E76" s="19">
        <v>112712</v>
      </c>
      <c r="F76" s="19">
        <v>347557</v>
      </c>
      <c r="G76" s="19">
        <f>SUM(C76:F76)</f>
        <v>1615614</v>
      </c>
    </row>
    <row r="77" spans="2:8" x14ac:dyDescent="0.25">
      <c r="B77" s="18" t="s">
        <v>50</v>
      </c>
      <c r="C77" s="19">
        <f>+C59+C71</f>
        <v>1916046.075682</v>
      </c>
      <c r="D77" s="19">
        <v>363021.398414</v>
      </c>
      <c r="E77" s="19">
        <v>172390.02497100001</v>
      </c>
      <c r="F77" s="19">
        <v>420420</v>
      </c>
      <c r="G77" s="22">
        <f>SUM(C77:F77)</f>
        <v>2871877.4990670001</v>
      </c>
    </row>
    <row r="78" spans="2:8" x14ac:dyDescent="0.25">
      <c r="B78" s="70"/>
      <c r="C78" s="70"/>
      <c r="D78" s="70"/>
      <c r="E78" s="70"/>
      <c r="F78" s="70"/>
      <c r="G78" s="70"/>
      <c r="H78" s="70"/>
    </row>
    <row r="79" spans="2:8" x14ac:dyDescent="0.25">
      <c r="B79" s="75" t="s">
        <v>55</v>
      </c>
      <c r="C79" s="76"/>
      <c r="D79" s="76"/>
      <c r="E79" s="76"/>
      <c r="F79" s="76"/>
      <c r="G79" s="77"/>
    </row>
    <row r="80" spans="2:8" x14ac:dyDescent="0.25">
      <c r="B80" s="71" t="s">
        <v>45</v>
      </c>
      <c r="C80" s="72"/>
      <c r="D80" s="72"/>
      <c r="E80" s="72"/>
      <c r="F80" s="72"/>
      <c r="G80" s="7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1012</v>
      </c>
      <c r="D84" s="24">
        <v>116</v>
      </c>
      <c r="E84" s="24">
        <v>6</v>
      </c>
      <c r="F84" s="24">
        <v>96</v>
      </c>
      <c r="G84" s="24">
        <f>SUM(C84:F84)</f>
        <v>1230</v>
      </c>
    </row>
    <row r="85" spans="2:7" x14ac:dyDescent="0.25">
      <c r="B85" s="14" t="s">
        <v>50</v>
      </c>
      <c r="C85" s="24">
        <v>21790.261316</v>
      </c>
      <c r="D85" s="24">
        <v>1469</v>
      </c>
      <c r="E85" s="24">
        <v>78</v>
      </c>
      <c r="F85" s="28">
        <v>1744.2622490000001</v>
      </c>
      <c r="G85" s="11">
        <f>SUM(C85:F85)</f>
        <v>25081.523565</v>
      </c>
    </row>
    <row r="86" spans="2:7" x14ac:dyDescent="0.25">
      <c r="B86" s="71" t="s">
        <v>51</v>
      </c>
      <c r="C86" s="72"/>
      <c r="D86" s="72"/>
      <c r="E86" s="72"/>
      <c r="F86" s="72"/>
      <c r="G86" s="7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1" t="s">
        <v>52</v>
      </c>
      <c r="C92" s="72"/>
      <c r="D92" s="72"/>
      <c r="E92" s="72"/>
      <c r="F92" s="72"/>
      <c r="G92" s="73"/>
    </row>
    <row r="93" spans="2:7" x14ac:dyDescent="0.25">
      <c r="B93" s="14" t="s">
        <v>46</v>
      </c>
      <c r="C93" s="24">
        <v>0</v>
      </c>
      <c r="D93" s="24">
        <v>0</v>
      </c>
      <c r="E93" s="24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4">
        <v>0</v>
      </c>
      <c r="D94" s="24">
        <v>0</v>
      </c>
      <c r="E94" s="24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4">
        <v>0</v>
      </c>
      <c r="D95" s="24">
        <v>0</v>
      </c>
      <c r="E95" s="24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7</v>
      </c>
      <c r="G96" s="28">
        <f>SUM(C96:F96)</f>
        <v>17</v>
      </c>
    </row>
    <row r="97" spans="2:8" x14ac:dyDescent="0.25">
      <c r="B97" s="14" t="s">
        <v>50</v>
      </c>
      <c r="C97" s="24">
        <v>176.84869599999999</v>
      </c>
      <c r="D97" s="24">
        <v>0</v>
      </c>
      <c r="E97" s="24">
        <v>0</v>
      </c>
      <c r="F97" s="24">
        <v>82.666157999999996</v>
      </c>
      <c r="G97" s="11">
        <f>SUM(C97:F97)</f>
        <v>259.51485400000001</v>
      </c>
    </row>
    <row r="98" spans="2:8" x14ac:dyDescent="0.25">
      <c r="B98" s="83" t="s">
        <v>56</v>
      </c>
      <c r="C98" s="84"/>
      <c r="D98" s="84"/>
      <c r="E98" s="84"/>
      <c r="F98" s="84"/>
      <c r="G98" s="85"/>
    </row>
    <row r="99" spans="2:8" x14ac:dyDescent="0.25">
      <c r="B99" s="18" t="s">
        <v>46</v>
      </c>
      <c r="C99" s="47">
        <v>0</v>
      </c>
      <c r="D99" s="47">
        <v>0</v>
      </c>
      <c r="E99" s="47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47">
        <v>0</v>
      </c>
      <c r="D100" s="47">
        <v>0</v>
      </c>
      <c r="E100" s="47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47">
        <v>0</v>
      </c>
      <c r="D101" s="47">
        <v>0</v>
      </c>
      <c r="E101" s="47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7">
        <f>+C96+C84</f>
        <v>1022</v>
      </c>
      <c r="D102" s="47">
        <f t="shared" ref="D102:D103" si="1">+D96+D90+D84</f>
        <v>116</v>
      </c>
      <c r="E102" s="47">
        <f>+E84</f>
        <v>6</v>
      </c>
      <c r="F102" s="47">
        <f>+F96+F84</f>
        <v>103</v>
      </c>
      <c r="G102" s="19">
        <f>SUM(C102:F102)</f>
        <v>1247</v>
      </c>
    </row>
    <row r="103" spans="2:8" x14ac:dyDescent="0.25">
      <c r="B103" s="18" t="s">
        <v>50</v>
      </c>
      <c r="C103" s="47">
        <f>+C97+C85</f>
        <v>21967.110012000001</v>
      </c>
      <c r="D103" s="47">
        <f t="shared" si="1"/>
        <v>1469</v>
      </c>
      <c r="E103" s="47">
        <f>+E85</f>
        <v>78</v>
      </c>
      <c r="F103" s="45">
        <f>+F85+F97</f>
        <v>1826.9284070000001</v>
      </c>
      <c r="G103" s="22">
        <f>SUM(C103:F103)</f>
        <v>25341.038419</v>
      </c>
    </row>
    <row r="104" spans="2:8" x14ac:dyDescent="0.25">
      <c r="B104" s="70"/>
      <c r="C104" s="70"/>
      <c r="D104" s="70"/>
      <c r="E104" s="70"/>
      <c r="F104" s="70"/>
      <c r="G104" s="70"/>
      <c r="H104" s="70"/>
    </row>
    <row r="105" spans="2:8" x14ac:dyDescent="0.25">
      <c r="B105" s="69" t="s">
        <v>57</v>
      </c>
      <c r="C105" s="69"/>
      <c r="D105" s="69"/>
      <c r="E105" s="69"/>
      <c r="F105" s="69"/>
      <c r="G105" s="69"/>
    </row>
    <row r="106" spans="2:8" x14ac:dyDescent="0.25">
      <c r="B106" s="74" t="s">
        <v>58</v>
      </c>
      <c r="C106" s="74"/>
      <c r="D106" s="74"/>
      <c r="E106" s="74"/>
      <c r="F106" s="74"/>
      <c r="G106" s="74"/>
    </row>
    <row r="107" spans="2:8" x14ac:dyDescent="0.25">
      <c r="B107" s="14" t="s">
        <v>59</v>
      </c>
      <c r="C107" s="13">
        <v>2.8568633742696306</v>
      </c>
      <c r="D107" s="13">
        <v>2.5499999999999998</v>
      </c>
      <c r="E107" s="14">
        <v>2.93</v>
      </c>
      <c r="F107" s="13">
        <v>2.54</v>
      </c>
      <c r="G107" s="13">
        <f>AVERAGE(C107:F107)</f>
        <v>2.7192158435674072</v>
      </c>
    </row>
    <row r="108" spans="2:8" x14ac:dyDescent="0.25">
      <c r="B108" s="14" t="s">
        <v>60</v>
      </c>
      <c r="C108" s="13">
        <v>2.6109335727110188</v>
      </c>
      <c r="D108" s="13">
        <v>2.65</v>
      </c>
      <c r="E108" s="14">
        <v>2.8</v>
      </c>
      <c r="F108" s="13">
        <v>2.66</v>
      </c>
      <c r="G108" s="13">
        <f>AVERAGE(C108:F108)</f>
        <v>2.6802333931777547</v>
      </c>
    </row>
    <row r="109" spans="2:8" x14ac:dyDescent="0.25">
      <c r="B109" s="14" t="s">
        <v>61</v>
      </c>
      <c r="C109" s="13">
        <v>2.4679978185699509</v>
      </c>
      <c r="D109" s="13">
        <v>2.65</v>
      </c>
      <c r="E109" s="14">
        <v>2.81</v>
      </c>
      <c r="F109" s="13">
        <v>2.69</v>
      </c>
      <c r="G109" s="13">
        <f>AVERAGE(C109:F109)</f>
        <v>2.6544994546424876</v>
      </c>
    </row>
    <row r="110" spans="2:8" x14ac:dyDescent="0.25">
      <c r="B110" s="74" t="s">
        <v>62</v>
      </c>
      <c r="C110" s="74"/>
      <c r="D110" s="74"/>
      <c r="E110" s="74"/>
      <c r="F110" s="74"/>
      <c r="G110" s="74"/>
    </row>
    <row r="111" spans="2:8" x14ac:dyDescent="0.25">
      <c r="B111" s="14" t="s">
        <v>59</v>
      </c>
      <c r="C111" s="13">
        <v>1.7999999999999987</v>
      </c>
      <c r="D111" s="13">
        <v>1.95</v>
      </c>
      <c r="E111" s="14">
        <v>1.8</v>
      </c>
      <c r="F111" s="13">
        <v>1.7999999999999987</v>
      </c>
      <c r="G111" s="13">
        <f>AVERAGE(C111:F111)</f>
        <v>1.8374999999999995</v>
      </c>
    </row>
    <row r="112" spans="2:8" x14ac:dyDescent="0.25">
      <c r="B112" s="14" t="s">
        <v>60</v>
      </c>
      <c r="C112" s="13">
        <v>2.1500000000000039</v>
      </c>
      <c r="D112" s="13">
        <v>2.16</v>
      </c>
      <c r="E112" s="14">
        <v>2.16</v>
      </c>
      <c r="F112" s="13">
        <v>2.16</v>
      </c>
      <c r="G112" s="13">
        <f>AVERAGE(C112:F112)</f>
        <v>2.1575000000000011</v>
      </c>
    </row>
    <row r="113" spans="2:9" x14ac:dyDescent="0.25">
      <c r="B113" s="14" t="s">
        <v>61</v>
      </c>
      <c r="C113" s="13">
        <v>2.150000000000003</v>
      </c>
      <c r="D113" s="13">
        <v>2.16</v>
      </c>
      <c r="E113" s="14">
        <v>2.2000000000000002</v>
      </c>
      <c r="F113" s="13">
        <v>2.19</v>
      </c>
      <c r="G113" s="13">
        <f>AVERAGE(C113:F113)</f>
        <v>2.1750000000000007</v>
      </c>
    </row>
    <row r="114" spans="2:9" x14ac:dyDescent="0.25">
      <c r="B114" s="70"/>
      <c r="C114" s="70"/>
      <c r="D114" s="70"/>
      <c r="E114" s="70"/>
      <c r="F114" s="70"/>
      <c r="G114" s="70"/>
      <c r="H114" s="70"/>
      <c r="I114" s="70"/>
    </row>
    <row r="115" spans="2:9" x14ac:dyDescent="0.25">
      <c r="B115" s="74" t="s">
        <v>63</v>
      </c>
      <c r="C115" s="74"/>
      <c r="D115" s="74"/>
      <c r="E115" s="74"/>
      <c r="F115" s="74"/>
      <c r="G115" s="74"/>
    </row>
    <row r="116" spans="2:9" x14ac:dyDescent="0.25">
      <c r="B116" s="14" t="s">
        <v>59</v>
      </c>
      <c r="C116" s="13">
        <v>1.5119192448872716</v>
      </c>
      <c r="D116" s="13">
        <v>1.79</v>
      </c>
      <c r="E116" s="20">
        <v>2.0499999999999998</v>
      </c>
      <c r="F116" s="13">
        <v>1.78</v>
      </c>
      <c r="G116" s="13">
        <f>AVERAGE(C116:F116)</f>
        <v>1.782979811221818</v>
      </c>
    </row>
    <row r="117" spans="2:9" x14ac:dyDescent="0.25">
      <c r="B117" s="14" t="s">
        <v>60</v>
      </c>
      <c r="C117" s="13">
        <v>1.7575315414153181</v>
      </c>
      <c r="D117" s="13">
        <v>1.79</v>
      </c>
      <c r="E117" s="20">
        <v>2.02</v>
      </c>
      <c r="F117" s="13">
        <v>1.78</v>
      </c>
      <c r="G117" s="13">
        <f>AVERAGE(C117:F117)</f>
        <v>1.8368828853538297</v>
      </c>
    </row>
    <row r="118" spans="2:9" x14ac:dyDescent="0.25">
      <c r="B118" s="14" t="s">
        <v>61</v>
      </c>
      <c r="C118" s="13">
        <v>1.7561745536979725</v>
      </c>
      <c r="D118" s="13">
        <v>1.74</v>
      </c>
      <c r="E118" s="20">
        <v>2.25</v>
      </c>
      <c r="F118" s="13">
        <v>1.99</v>
      </c>
      <c r="G118" s="13">
        <f>AVERAGE(C118:F118)</f>
        <v>1.9340436384244932</v>
      </c>
    </row>
    <row r="119" spans="2:9" x14ac:dyDescent="0.25">
      <c r="B119" s="71" t="s">
        <v>64</v>
      </c>
      <c r="C119" s="72"/>
      <c r="D119" s="72"/>
      <c r="E119" s="72"/>
      <c r="F119" s="72"/>
      <c r="G119" s="73"/>
    </row>
    <row r="120" spans="2:9" x14ac:dyDescent="0.25">
      <c r="B120" s="14" t="s">
        <v>59</v>
      </c>
      <c r="C120" s="13"/>
      <c r="D120" s="13">
        <v>1.43</v>
      </c>
      <c r="E120" s="14">
        <v>0</v>
      </c>
      <c r="F120" s="13">
        <v>1.2</v>
      </c>
      <c r="G120" s="13">
        <f>AVERAGE(C120:F120)</f>
        <v>0.87666666666666659</v>
      </c>
    </row>
    <row r="121" spans="2:9" x14ac:dyDescent="0.25">
      <c r="B121" s="14" t="s">
        <v>60</v>
      </c>
      <c r="C121" s="13"/>
      <c r="D121" s="13">
        <v>1.43</v>
      </c>
      <c r="E121" s="14">
        <v>1.42</v>
      </c>
      <c r="F121" s="13">
        <v>1.43</v>
      </c>
      <c r="G121" s="13">
        <f>AVERAGE(C121:F121)</f>
        <v>1.4266666666666665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1.85</v>
      </c>
      <c r="F122" s="13">
        <v>1.74</v>
      </c>
      <c r="G122" s="13">
        <f>AVERAGE(C122:F122)</f>
        <v>1.6125</v>
      </c>
    </row>
    <row r="123" spans="2:9" x14ac:dyDescent="0.25">
      <c r="B123" s="70"/>
      <c r="C123" s="70"/>
      <c r="D123" s="70"/>
      <c r="E123" s="70"/>
      <c r="F123" s="70"/>
      <c r="G123" s="70"/>
      <c r="H123" s="70"/>
    </row>
    <row r="124" spans="2:9" x14ac:dyDescent="0.25">
      <c r="B124" s="75" t="s">
        <v>65</v>
      </c>
      <c r="C124" s="76"/>
      <c r="D124" s="76"/>
      <c r="E124" s="76"/>
      <c r="F124" s="76"/>
      <c r="G124" s="7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5" t="s">
        <v>67</v>
      </c>
      <c r="C126" s="76"/>
      <c r="D126" s="76"/>
      <c r="E126" s="76"/>
      <c r="F126" s="76"/>
      <c r="G126" s="77"/>
    </row>
    <row r="127" spans="2:9" x14ac:dyDescent="0.25">
      <c r="B127" s="3" t="s">
        <v>68</v>
      </c>
      <c r="C127" s="14">
        <v>1.87</v>
      </c>
      <c r="D127" s="39">
        <v>2.062503</v>
      </c>
      <c r="E127" s="34">
        <v>2.2637529544530191</v>
      </c>
      <c r="F127" s="4">
        <v>0</v>
      </c>
      <c r="G127" s="11">
        <f>AVERAGE(C127:E127)</f>
        <v>2.0654186514843396</v>
      </c>
    </row>
    <row r="128" spans="2:9" x14ac:dyDescent="0.25">
      <c r="B128" s="82"/>
      <c r="C128" s="82"/>
      <c r="D128" s="82"/>
      <c r="E128" s="82"/>
      <c r="F128" s="82"/>
      <c r="G128" s="82"/>
      <c r="H128" s="82"/>
    </row>
    <row r="129" spans="2:9" x14ac:dyDescent="0.25">
      <c r="B129" s="69" t="s">
        <v>69</v>
      </c>
      <c r="C129" s="69"/>
      <c r="D129" s="69"/>
      <c r="E129" s="69"/>
      <c r="F129" s="69"/>
      <c r="G129" s="69"/>
    </row>
    <row r="130" spans="2:9" x14ac:dyDescent="0.25">
      <c r="B130" s="14" t="s">
        <v>70</v>
      </c>
      <c r="C130" s="28">
        <v>233320</v>
      </c>
      <c r="D130" s="28">
        <v>3447</v>
      </c>
      <c r="E130" s="28">
        <v>8542</v>
      </c>
      <c r="F130" s="28">
        <v>785</v>
      </c>
      <c r="G130" s="28">
        <f>SUM(C130:F130)</f>
        <v>246094</v>
      </c>
    </row>
    <row r="131" spans="2:9" x14ac:dyDescent="0.25">
      <c r="B131" s="14" t="s">
        <v>71</v>
      </c>
      <c r="C131" s="28">
        <v>158117.57647500001</v>
      </c>
      <c r="D131" s="28">
        <v>3827</v>
      </c>
      <c r="E131" s="28">
        <v>1013</v>
      </c>
      <c r="F131" s="28">
        <v>715.38166699999999</v>
      </c>
      <c r="G131" s="11">
        <f>SUM(C131:F131)</f>
        <v>163672.95814200002</v>
      </c>
    </row>
    <row r="132" spans="2:9" x14ac:dyDescent="0.25">
      <c r="B132" s="70"/>
      <c r="C132" s="70"/>
      <c r="D132" s="70"/>
      <c r="E132" s="70"/>
      <c r="F132" s="70"/>
      <c r="G132" s="70"/>
      <c r="H132" s="70"/>
    </row>
    <row r="133" spans="2:9" x14ac:dyDescent="0.25">
      <c r="B133" s="69" t="s">
        <v>72</v>
      </c>
      <c r="C133" s="69"/>
      <c r="D133" s="69"/>
      <c r="E133" s="69"/>
      <c r="F133" s="69"/>
      <c r="G133" s="69"/>
    </row>
    <row r="134" spans="2:9" x14ac:dyDescent="0.25">
      <c r="B134" s="14" t="s">
        <v>73</v>
      </c>
      <c r="C134" s="28">
        <v>776830</v>
      </c>
      <c r="D134" s="28">
        <v>366687</v>
      </c>
      <c r="E134" s="28">
        <v>126375</v>
      </c>
      <c r="F134" s="28">
        <v>290470</v>
      </c>
      <c r="G134" s="28">
        <f>SUM(C134:F134)</f>
        <v>1560362</v>
      </c>
    </row>
    <row r="135" spans="2:9" x14ac:dyDescent="0.25">
      <c r="B135" s="70"/>
      <c r="C135" s="70"/>
      <c r="D135" s="70"/>
      <c r="E135" s="70"/>
      <c r="F135" s="70"/>
      <c r="G135" s="70"/>
      <c r="H135" s="70"/>
    </row>
    <row r="136" spans="2:9" ht="21" x14ac:dyDescent="0.35">
      <c r="B136" s="78" t="s">
        <v>74</v>
      </c>
      <c r="C136" s="78"/>
      <c r="D136" s="78"/>
      <c r="E136" s="78"/>
      <c r="F136" s="78"/>
      <c r="G136" s="78"/>
    </row>
    <row r="137" spans="2:9" x14ac:dyDescent="0.25">
      <c r="B137" s="69" t="s">
        <v>75</v>
      </c>
      <c r="C137" s="69"/>
      <c r="D137" s="69"/>
      <c r="E137" s="69"/>
      <c r="F137" s="69"/>
      <c r="G137" s="69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15369</v>
      </c>
      <c r="G138" s="28">
        <f>SUM(C138:F138)</f>
        <v>15369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240</v>
      </c>
      <c r="G139" s="28">
        <f>SUM(C139:F139)</f>
        <v>240</v>
      </c>
      <c r="H139" s="7"/>
      <c r="I139" s="7"/>
    </row>
    <row r="140" spans="2:9" x14ac:dyDescent="0.25">
      <c r="B140" s="70"/>
      <c r="C140" s="70"/>
      <c r="D140" s="70"/>
      <c r="E140" s="70"/>
      <c r="F140" s="70"/>
      <c r="G140" s="70"/>
      <c r="H140" s="70"/>
      <c r="I140" s="7"/>
    </row>
    <row r="141" spans="2:9" x14ac:dyDescent="0.25">
      <c r="B141" s="70"/>
      <c r="C141" s="70"/>
      <c r="D141" s="70"/>
      <c r="E141" s="70"/>
      <c r="F141" s="70"/>
      <c r="G141" s="70"/>
      <c r="H141" s="70"/>
    </row>
    <row r="142" spans="2:9" ht="21" x14ac:dyDescent="0.35">
      <c r="B142" s="79" t="s">
        <v>78</v>
      </c>
      <c r="C142" s="80"/>
      <c r="D142" s="80"/>
      <c r="E142" s="80"/>
      <c r="F142" s="80"/>
      <c r="G142" s="81"/>
    </row>
    <row r="143" spans="2:9" x14ac:dyDescent="0.25">
      <c r="B143" s="75" t="s">
        <v>79</v>
      </c>
      <c r="C143" s="76"/>
      <c r="D143" s="76"/>
      <c r="E143" s="76"/>
      <c r="F143" s="76"/>
      <c r="G143" s="77"/>
    </row>
    <row r="144" spans="2:9" x14ac:dyDescent="0.25">
      <c r="B144" s="70"/>
      <c r="C144" s="70"/>
      <c r="D144" s="70"/>
      <c r="E144" s="70"/>
      <c r="F144" s="70"/>
      <c r="G144" s="70"/>
      <c r="H144" s="70"/>
    </row>
    <row r="145" spans="2:8" x14ac:dyDescent="0.25">
      <c r="B145" s="74" t="s">
        <v>80</v>
      </c>
      <c r="C145" s="74"/>
      <c r="D145" s="74"/>
      <c r="E145" s="74"/>
      <c r="F145" s="74"/>
      <c r="G145" s="74"/>
    </row>
    <row r="146" spans="2:8" x14ac:dyDescent="0.25">
      <c r="B146" s="14" t="s">
        <v>81</v>
      </c>
      <c r="C146" s="28">
        <v>0</v>
      </c>
      <c r="D146" s="28">
        <v>670</v>
      </c>
      <c r="E146" s="28">
        <v>0</v>
      </c>
      <c r="F146" s="28">
        <v>1010</v>
      </c>
      <c r="G146" s="28">
        <f>SUM(C146:F146)</f>
        <v>1680</v>
      </c>
    </row>
    <row r="147" spans="2:8" x14ac:dyDescent="0.25">
      <c r="B147" s="14" t="s">
        <v>82</v>
      </c>
      <c r="C147" s="28">
        <v>0</v>
      </c>
      <c r="D147" s="28">
        <v>15.202</v>
      </c>
      <c r="E147" s="28">
        <v>0</v>
      </c>
      <c r="F147" s="28">
        <v>11.33375</v>
      </c>
      <c r="G147" s="11">
        <f>SUM(C147:F147)</f>
        <v>26.53575</v>
      </c>
    </row>
    <row r="148" spans="2:8" x14ac:dyDescent="0.25">
      <c r="B148" s="70"/>
      <c r="C148" s="70"/>
      <c r="D148" s="70"/>
      <c r="E148" s="70"/>
      <c r="F148" s="70"/>
      <c r="G148" s="70"/>
      <c r="H148" s="70"/>
    </row>
    <row r="149" spans="2:8" x14ac:dyDescent="0.25">
      <c r="B149" s="74" t="s">
        <v>83</v>
      </c>
      <c r="C149" s="74"/>
      <c r="D149" s="74"/>
      <c r="E149" s="74"/>
      <c r="F149" s="74"/>
      <c r="G149" s="74"/>
    </row>
    <row r="150" spans="2:8" x14ac:dyDescent="0.25">
      <c r="B150" s="14" t="s">
        <v>84</v>
      </c>
      <c r="C150" s="28">
        <v>0</v>
      </c>
      <c r="D150" s="28">
        <v>0.4</v>
      </c>
      <c r="E150" s="28">
        <v>0.4</v>
      </c>
      <c r="F150" s="28">
        <v>0</v>
      </c>
      <c r="G150" s="28">
        <f>SUM(C150:F150)</f>
        <v>0.8</v>
      </c>
      <c r="H150"/>
    </row>
    <row r="151" spans="2:8" x14ac:dyDescent="0.25">
      <c r="B151" s="14" t="s">
        <v>85</v>
      </c>
      <c r="C151" s="28">
        <v>0</v>
      </c>
      <c r="D151" s="28">
        <v>0.4</v>
      </c>
      <c r="E151" s="28">
        <v>0.4</v>
      </c>
      <c r="F151" s="28">
        <v>0.4</v>
      </c>
      <c r="G151" s="11">
        <f>SUM(C151:F151)</f>
        <v>1.2000000000000002</v>
      </c>
      <c r="H151"/>
    </row>
    <row r="152" spans="2:8" x14ac:dyDescent="0.25">
      <c r="B152" s="70"/>
      <c r="C152" s="70"/>
      <c r="D152" s="70"/>
      <c r="E152" s="70"/>
      <c r="F152" s="70"/>
      <c r="G152" s="70"/>
      <c r="H152" s="70"/>
    </row>
    <row r="153" spans="2:8" x14ac:dyDescent="0.25">
      <c r="B153" s="74" t="s">
        <v>86</v>
      </c>
      <c r="C153" s="74"/>
      <c r="D153" s="74"/>
      <c r="E153" s="74"/>
      <c r="F153" s="74"/>
      <c r="G153" s="74"/>
    </row>
    <row r="154" spans="2:8" x14ac:dyDescent="0.25">
      <c r="B154" s="14" t="s">
        <v>87</v>
      </c>
      <c r="C154" s="14">
        <v>0</v>
      </c>
      <c r="D154" s="28">
        <v>6223</v>
      </c>
      <c r="E154" s="36">
        <v>0</v>
      </c>
      <c r="F154" s="35">
        <v>0</v>
      </c>
      <c r="G154" s="28">
        <f>SUM(C154:F154)</f>
        <v>6223</v>
      </c>
      <c r="H154"/>
    </row>
    <row r="155" spans="2:8" x14ac:dyDescent="0.25">
      <c r="B155" s="14" t="s">
        <v>88</v>
      </c>
      <c r="C155" s="11">
        <v>0</v>
      </c>
      <c r="D155" s="28">
        <v>362.482484</v>
      </c>
      <c r="E155" s="36">
        <v>0</v>
      </c>
      <c r="F155" s="35">
        <v>0</v>
      </c>
      <c r="G155" s="11">
        <f>SUM(C155:F155)</f>
        <v>362.482484</v>
      </c>
      <c r="H155"/>
    </row>
    <row r="156" spans="2:8" x14ac:dyDescent="0.25">
      <c r="B156" s="70"/>
      <c r="C156" s="70"/>
      <c r="D156" s="70"/>
      <c r="E156" s="70"/>
      <c r="F156" s="70"/>
      <c r="G156" s="70"/>
      <c r="H156" s="70"/>
    </row>
    <row r="157" spans="2:8" x14ac:dyDescent="0.25">
      <c r="B157" s="71" t="s">
        <v>89</v>
      </c>
      <c r="C157" s="72"/>
      <c r="D157" s="72"/>
      <c r="E157" s="72"/>
      <c r="F157" s="72"/>
      <c r="G157" s="73"/>
    </row>
    <row r="158" spans="2:8" x14ac:dyDescent="0.25">
      <c r="B158" s="18" t="s">
        <v>90</v>
      </c>
      <c r="C158" s="19">
        <v>0</v>
      </c>
      <c r="D158" s="46">
        <v>6893</v>
      </c>
      <c r="E158" s="19">
        <v>0</v>
      </c>
      <c r="F158" s="19">
        <f>F146+F154</f>
        <v>1010</v>
      </c>
      <c r="G158" s="19">
        <f>SUM(C158:F158)</f>
        <v>7903</v>
      </c>
    </row>
    <row r="159" spans="2:8" x14ac:dyDescent="0.25">
      <c r="B159" s="18" t="s">
        <v>91</v>
      </c>
      <c r="C159" s="19">
        <v>0</v>
      </c>
      <c r="D159" s="46">
        <v>377.684484</v>
      </c>
      <c r="E159" s="19">
        <v>0</v>
      </c>
      <c r="F159" s="19">
        <f>F147+F155</f>
        <v>11.33375</v>
      </c>
      <c r="G159" s="22">
        <f>SUM(C159:F159)</f>
        <v>389.01823400000001</v>
      </c>
    </row>
    <row r="160" spans="2:8" x14ac:dyDescent="0.25">
      <c r="B160" s="70"/>
      <c r="C160" s="70"/>
      <c r="D160" s="70"/>
      <c r="E160" s="70"/>
      <c r="F160" s="70"/>
      <c r="G160" s="70"/>
      <c r="H160" s="70"/>
    </row>
    <row r="161" spans="2:8" x14ac:dyDescent="0.25">
      <c r="B161" s="69" t="s">
        <v>92</v>
      </c>
      <c r="C161" s="69"/>
      <c r="D161" s="69"/>
      <c r="E161" s="69"/>
      <c r="F161" s="69"/>
      <c r="G161" s="69"/>
    </row>
    <row r="162" spans="2:8" x14ac:dyDescent="0.25">
      <c r="B162" s="14" t="s">
        <v>87</v>
      </c>
      <c r="C162" s="28">
        <v>3015</v>
      </c>
      <c r="D162" s="28">
        <v>66705</v>
      </c>
      <c r="E162" s="28">
        <v>4200</v>
      </c>
      <c r="F162" s="28">
        <v>27842</v>
      </c>
      <c r="G162" s="28">
        <f>SUM(C162:F162)</f>
        <v>101762</v>
      </c>
    </row>
    <row r="163" spans="2:8" x14ac:dyDescent="0.25">
      <c r="B163" s="14" t="s">
        <v>88</v>
      </c>
      <c r="C163" s="28">
        <f>66060852/1000000</f>
        <v>66.060851999999997</v>
      </c>
      <c r="D163" s="28">
        <v>334.57844599999999</v>
      </c>
      <c r="E163" s="28">
        <v>73.400000000000006</v>
      </c>
      <c r="F163" s="28">
        <v>189.63400300000001</v>
      </c>
      <c r="G163" s="11">
        <f>SUM(C163:F163)</f>
        <v>663.67330100000004</v>
      </c>
    </row>
    <row r="164" spans="2:8" x14ac:dyDescent="0.25">
      <c r="B164" s="70"/>
      <c r="C164" s="70"/>
      <c r="D164" s="70"/>
      <c r="E164" s="70"/>
      <c r="F164" s="70"/>
      <c r="G164" s="70"/>
    </row>
    <row r="165" spans="2:8" x14ac:dyDescent="0.25">
      <c r="B165" s="75" t="s">
        <v>93</v>
      </c>
      <c r="C165" s="76"/>
      <c r="D165" s="76"/>
      <c r="E165" s="76"/>
      <c r="F165" s="76"/>
      <c r="G165" s="77"/>
    </row>
    <row r="166" spans="2:8" x14ac:dyDescent="0.25">
      <c r="B166" s="71" t="s">
        <v>94</v>
      </c>
      <c r="C166" s="72"/>
      <c r="D166" s="72"/>
      <c r="E166" s="72"/>
      <c r="F166" s="72"/>
      <c r="G166" s="73"/>
    </row>
    <row r="167" spans="2:8" x14ac:dyDescent="0.25">
      <c r="B167" s="14" t="s">
        <v>95</v>
      </c>
      <c r="C167" s="28">
        <v>392</v>
      </c>
      <c r="D167" s="28">
        <v>4819</v>
      </c>
      <c r="E167" s="28">
        <v>101</v>
      </c>
      <c r="F167" s="28">
        <v>636</v>
      </c>
      <c r="G167" s="28">
        <f>SUM(C167:F167)</f>
        <v>5948</v>
      </c>
    </row>
    <row r="168" spans="2:8" x14ac:dyDescent="0.25">
      <c r="B168" s="14" t="s">
        <v>96</v>
      </c>
      <c r="C168" s="28">
        <f>9800000/1000000</f>
        <v>9.8000000000000007</v>
      </c>
      <c r="D168" s="28">
        <v>114.449838</v>
      </c>
      <c r="E168" s="28">
        <v>2.5049999999999999</v>
      </c>
      <c r="F168" s="28">
        <v>22.215</v>
      </c>
      <c r="G168" s="11">
        <f>SUM(C168:F168)</f>
        <v>148.96983799999998</v>
      </c>
    </row>
    <row r="169" spans="2:8" x14ac:dyDescent="0.25">
      <c r="B169" s="70"/>
      <c r="C169" s="70"/>
      <c r="D169" s="70"/>
      <c r="E169" s="70"/>
      <c r="F169" s="70"/>
      <c r="G169" s="70"/>
    </row>
    <row r="170" spans="2:8" x14ac:dyDescent="0.25">
      <c r="B170" s="71" t="s">
        <v>97</v>
      </c>
      <c r="C170" s="72"/>
      <c r="D170" s="72"/>
      <c r="E170" s="72"/>
      <c r="F170" s="72"/>
      <c r="G170" s="73"/>
    </row>
    <row r="171" spans="2:8" x14ac:dyDescent="0.25">
      <c r="B171" s="14" t="s">
        <v>98</v>
      </c>
      <c r="C171" s="28">
        <v>1216</v>
      </c>
      <c r="D171" s="28">
        <v>375</v>
      </c>
      <c r="E171" s="28">
        <v>123</v>
      </c>
      <c r="F171" s="28">
        <v>384</v>
      </c>
      <c r="G171" s="28">
        <f>SUM(C171:F171)</f>
        <v>2098</v>
      </c>
    </row>
    <row r="172" spans="2:8" x14ac:dyDescent="0.25">
      <c r="B172" s="14" t="s">
        <v>96</v>
      </c>
      <c r="C172" s="28">
        <f>26752000/1000000</f>
        <v>26.751999999999999</v>
      </c>
      <c r="D172" s="28">
        <v>7.875</v>
      </c>
      <c r="E172" s="28">
        <v>3.0750000000000002</v>
      </c>
      <c r="F172" s="28">
        <v>8.4060000000000006</v>
      </c>
      <c r="G172" s="11">
        <f>SUM(C172:F172)</f>
        <v>46.107999999999997</v>
      </c>
    </row>
    <row r="173" spans="2:8" x14ac:dyDescent="0.25">
      <c r="B173" s="70"/>
      <c r="C173" s="70"/>
      <c r="D173" s="70"/>
      <c r="E173" s="70"/>
      <c r="F173" s="70"/>
      <c r="G173" s="70"/>
      <c r="H173" s="70"/>
    </row>
    <row r="174" spans="2:8" x14ac:dyDescent="0.25">
      <c r="B174" s="71" t="s">
        <v>99</v>
      </c>
      <c r="C174" s="72"/>
      <c r="D174" s="72"/>
      <c r="E174" s="72"/>
      <c r="F174" s="72"/>
      <c r="G174" s="73"/>
    </row>
    <row r="175" spans="2:8" x14ac:dyDescent="0.25">
      <c r="B175" s="14" t="s">
        <v>98</v>
      </c>
      <c r="C175" s="28">
        <v>194</v>
      </c>
      <c r="D175" s="28">
        <v>347</v>
      </c>
      <c r="E175" s="28">
        <v>134</v>
      </c>
      <c r="F175" s="28">
        <v>41</v>
      </c>
      <c r="G175" s="28">
        <f>SUM(C175:F175)</f>
        <v>716</v>
      </c>
    </row>
    <row r="176" spans="2:8" x14ac:dyDescent="0.25">
      <c r="B176" s="14" t="s">
        <v>96</v>
      </c>
      <c r="C176" s="28">
        <f>13580000/1000000</f>
        <v>13.58</v>
      </c>
      <c r="D176" s="28">
        <v>36.299999999999997</v>
      </c>
      <c r="E176" s="28">
        <v>7.87</v>
      </c>
      <c r="F176" s="28">
        <v>4.01</v>
      </c>
      <c r="G176" s="11">
        <f>SUM(C176:F176)</f>
        <v>61.759999999999991</v>
      </c>
    </row>
    <row r="177" spans="2:8" x14ac:dyDescent="0.25">
      <c r="B177" s="70"/>
      <c r="C177" s="70"/>
      <c r="D177" s="70"/>
      <c r="E177" s="70"/>
      <c r="F177" s="70"/>
      <c r="G177" s="70"/>
      <c r="H177" s="70"/>
    </row>
    <row r="178" spans="2:8" x14ac:dyDescent="0.25">
      <c r="B178" s="71" t="s">
        <v>100</v>
      </c>
      <c r="C178" s="72"/>
      <c r="D178" s="72"/>
      <c r="E178" s="72"/>
      <c r="F178" s="72"/>
      <c r="G178" s="73"/>
    </row>
    <row r="179" spans="2:8" x14ac:dyDescent="0.25">
      <c r="B179" s="14" t="s">
        <v>98</v>
      </c>
      <c r="C179" s="28">
        <v>317</v>
      </c>
      <c r="D179" s="28">
        <v>198957</v>
      </c>
      <c r="E179" s="28">
        <v>0</v>
      </c>
      <c r="F179" s="28">
        <v>0</v>
      </c>
      <c r="G179" s="28">
        <f>SUM(C179:F179)</f>
        <v>199274</v>
      </c>
    </row>
    <row r="180" spans="2:8" x14ac:dyDescent="0.25">
      <c r="B180" s="14" t="s">
        <v>96</v>
      </c>
      <c r="C180" s="28">
        <f>9780000/1000000</f>
        <v>9.7799999999999994</v>
      </c>
      <c r="D180" s="28">
        <v>4245.6762635019104</v>
      </c>
      <c r="E180" s="28">
        <v>0</v>
      </c>
      <c r="F180" s="28">
        <v>0</v>
      </c>
      <c r="G180" s="11">
        <f>SUM(C180:F180)</f>
        <v>4255.4562635019101</v>
      </c>
    </row>
    <row r="181" spans="2:8" x14ac:dyDescent="0.25">
      <c r="B181" s="70"/>
      <c r="C181" s="70"/>
      <c r="D181" s="70"/>
      <c r="E181" s="70"/>
      <c r="F181" s="70"/>
      <c r="G181" s="70"/>
      <c r="H181" s="70"/>
    </row>
    <row r="182" spans="2:8" x14ac:dyDescent="0.25">
      <c r="B182" s="69" t="s">
        <v>101</v>
      </c>
      <c r="C182" s="69"/>
      <c r="D182" s="69"/>
      <c r="E182" s="69"/>
      <c r="F182" s="69"/>
      <c r="G182" s="69"/>
    </row>
    <row r="183" spans="2:8" x14ac:dyDescent="0.25">
      <c r="B183" s="18" t="s">
        <v>102</v>
      </c>
      <c r="C183" s="19">
        <f>+C179+C175+C171+C167</f>
        <v>2119</v>
      </c>
      <c r="D183" s="46">
        <v>204498</v>
      </c>
      <c r="E183" s="19">
        <v>358</v>
      </c>
      <c r="F183" s="19">
        <f>+F179+F175+F171+F167</f>
        <v>1061</v>
      </c>
      <c r="G183" s="19">
        <f>SUM(C183:F183)</f>
        <v>208036</v>
      </c>
    </row>
    <row r="184" spans="2:8" x14ac:dyDescent="0.25">
      <c r="B184" s="18" t="s">
        <v>103</v>
      </c>
      <c r="C184" s="19">
        <f>+C180+C176+C172+C168</f>
        <v>59.911999999999992</v>
      </c>
      <c r="D184" s="46">
        <v>4404.3011015019101</v>
      </c>
      <c r="E184" s="19">
        <v>13.45</v>
      </c>
      <c r="F184" s="19">
        <f>+F180+F176+F172+F168</f>
        <v>34.631</v>
      </c>
      <c r="G184" s="22">
        <f>SUM(C184:F184)</f>
        <v>4512.2941015019105</v>
      </c>
    </row>
    <row r="185" spans="2:8" x14ac:dyDescent="0.25">
      <c r="B185" s="70"/>
      <c r="C185" s="70"/>
      <c r="D185" s="70"/>
      <c r="E185" s="70"/>
      <c r="F185" s="70"/>
      <c r="G185" s="70"/>
      <c r="H185" s="70"/>
    </row>
    <row r="186" spans="2:8" x14ac:dyDescent="0.25">
      <c r="B186" s="69" t="s">
        <v>104</v>
      </c>
      <c r="C186" s="69"/>
      <c r="D186" s="69"/>
      <c r="E186" s="69"/>
      <c r="F186" s="69"/>
      <c r="G186" s="69"/>
    </row>
    <row r="187" spans="2:8" x14ac:dyDescent="0.25">
      <c r="B187" s="14" t="s">
        <v>105</v>
      </c>
      <c r="C187" s="28">
        <v>3998</v>
      </c>
      <c r="D187" s="28">
        <v>141</v>
      </c>
      <c r="E187" s="28">
        <v>80</v>
      </c>
      <c r="F187" s="28">
        <v>29913</v>
      </c>
      <c r="G187" s="28">
        <f>SUM(C187:F187)</f>
        <v>34132</v>
      </c>
    </row>
    <row r="188" spans="2:8" x14ac:dyDescent="0.25">
      <c r="B188" s="14" t="s">
        <v>106</v>
      </c>
      <c r="C188" s="28">
        <f>32010123/1000000</f>
        <v>32.010123</v>
      </c>
      <c r="D188" s="28">
        <v>0</v>
      </c>
      <c r="E188" s="28">
        <v>3.15</v>
      </c>
      <c r="F188" s="28">
        <v>235.618753</v>
      </c>
      <c r="G188" s="11">
        <f>SUM(C188:F188)</f>
        <v>270.77887599999997</v>
      </c>
    </row>
    <row r="189" spans="2:8" x14ac:dyDescent="0.25">
      <c r="B189" s="70"/>
      <c r="C189" s="70"/>
      <c r="D189" s="70"/>
      <c r="E189" s="70"/>
      <c r="F189" s="70"/>
      <c r="G189" s="70"/>
      <c r="H189" s="70"/>
    </row>
    <row r="190" spans="2:8" x14ac:dyDescent="0.25">
      <c r="B190" s="69" t="s">
        <v>107</v>
      </c>
      <c r="C190" s="69"/>
      <c r="D190" s="69"/>
      <c r="E190" s="69"/>
      <c r="F190" s="69"/>
      <c r="G190" s="69"/>
    </row>
    <row r="191" spans="2:8" x14ac:dyDescent="0.25">
      <c r="B191" s="18" t="s">
        <v>108</v>
      </c>
      <c r="C191" s="19">
        <f>C187+C162+C183</f>
        <v>9132</v>
      </c>
      <c r="D191" s="46">
        <v>278237</v>
      </c>
      <c r="E191" s="19">
        <v>4638</v>
      </c>
      <c r="F191" s="19">
        <f>F158+F162+F183+F187</f>
        <v>59826</v>
      </c>
      <c r="G191" s="19">
        <f>SUM(C191:F191)</f>
        <v>351833</v>
      </c>
    </row>
    <row r="192" spans="2:8" x14ac:dyDescent="0.25">
      <c r="B192" s="18" t="s">
        <v>109</v>
      </c>
      <c r="C192" s="19">
        <f>C188+C163+C184</f>
        <v>157.98297500000001</v>
      </c>
      <c r="D192" s="46">
        <v>5116.5640315019109</v>
      </c>
      <c r="E192" s="19">
        <v>90.000000000000014</v>
      </c>
      <c r="F192" s="19">
        <f>F159+F184+F163+F188</f>
        <v>471.21750600000001</v>
      </c>
      <c r="G192" s="22">
        <f>SUM(C192:F192)</f>
        <v>5835.7645125019108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CA49-CA4E-415E-9532-522C71212D75}">
  <dimension ref="A1:BC196"/>
  <sheetViews>
    <sheetView tabSelected="1"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90" t="s">
        <v>1</v>
      </c>
      <c r="C2" s="91"/>
      <c r="D2" s="91"/>
      <c r="E2" s="91"/>
      <c r="F2" s="92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79" t="s">
        <v>7</v>
      </c>
      <c r="B4" s="80"/>
      <c r="C4" s="80"/>
      <c r="D4" s="80"/>
      <c r="E4" s="80"/>
      <c r="F4" s="81"/>
    </row>
    <row r="5" spans="1:6" x14ac:dyDescent="0.25">
      <c r="A5" s="75" t="s">
        <v>8</v>
      </c>
      <c r="B5" s="76"/>
      <c r="C5" s="76"/>
      <c r="D5" s="76"/>
      <c r="E5" s="76"/>
      <c r="F5" s="77"/>
    </row>
    <row r="6" spans="1:6" x14ac:dyDescent="0.25">
      <c r="A6" s="4" t="s">
        <v>9</v>
      </c>
      <c r="B6" s="12">
        <v>55175</v>
      </c>
      <c r="C6" s="12">
        <v>8209</v>
      </c>
      <c r="D6" s="12">
        <v>8423</v>
      </c>
      <c r="E6" s="12">
        <v>10000</v>
      </c>
      <c r="F6" s="12">
        <f>+E6+D6+C6+B6</f>
        <v>81807</v>
      </c>
    </row>
    <row r="7" spans="1:6" x14ac:dyDescent="0.25">
      <c r="A7" s="14" t="s">
        <v>10</v>
      </c>
      <c r="B7" s="12">
        <v>537</v>
      </c>
      <c r="C7" s="12">
        <v>251</v>
      </c>
      <c r="D7" s="12">
        <v>25</v>
      </c>
      <c r="E7" s="12">
        <v>151</v>
      </c>
      <c r="F7" s="12">
        <f>+E7+D7+C7+B7</f>
        <v>964</v>
      </c>
    </row>
    <row r="8" spans="1:6" x14ac:dyDescent="0.25">
      <c r="A8" s="18" t="s">
        <v>11</v>
      </c>
      <c r="B8" s="25">
        <f>SUM(B6:B7)</f>
        <v>55712</v>
      </c>
      <c r="C8" s="25">
        <f>+C6+C7</f>
        <v>8460</v>
      </c>
      <c r="D8" s="25">
        <v>8448</v>
      </c>
      <c r="E8" s="25">
        <v>10151</v>
      </c>
      <c r="F8" s="25">
        <f>+E8+D8+C8+B8</f>
        <v>82771</v>
      </c>
    </row>
    <row r="9" spans="1:6" x14ac:dyDescent="0.25">
      <c r="A9" s="70"/>
      <c r="B9" s="70"/>
      <c r="C9" s="70"/>
      <c r="D9" s="70"/>
      <c r="E9" s="70"/>
      <c r="F9" s="70"/>
    </row>
    <row r="10" spans="1:6" x14ac:dyDescent="0.25">
      <c r="A10" s="75" t="s">
        <v>12</v>
      </c>
      <c r="B10" s="76"/>
      <c r="C10" s="76"/>
      <c r="D10" s="76"/>
      <c r="E10" s="76"/>
      <c r="F10" s="77"/>
    </row>
    <row r="11" spans="1:6" x14ac:dyDescent="0.25">
      <c r="A11" s="71" t="s">
        <v>13</v>
      </c>
      <c r="B11" s="72"/>
      <c r="C11" s="72"/>
      <c r="D11" s="72"/>
      <c r="E11" s="72"/>
      <c r="F11" s="73"/>
    </row>
    <row r="12" spans="1:6" x14ac:dyDescent="0.25">
      <c r="A12" s="16" t="s">
        <v>14</v>
      </c>
      <c r="B12" s="12">
        <v>805988</v>
      </c>
      <c r="C12" s="12">
        <v>112691</v>
      </c>
      <c r="D12" s="12">
        <v>44374</v>
      </c>
      <c r="E12" s="17">
        <v>0</v>
      </c>
      <c r="F12" s="17">
        <f>SUM(B12:E12)</f>
        <v>963053</v>
      </c>
    </row>
    <row r="13" spans="1:6" x14ac:dyDescent="0.25">
      <c r="A13" s="16" t="s">
        <v>15</v>
      </c>
      <c r="B13" s="12">
        <v>2428658</v>
      </c>
      <c r="C13" s="12">
        <v>574895</v>
      </c>
      <c r="D13" s="12">
        <v>232719</v>
      </c>
      <c r="E13" s="17">
        <v>0</v>
      </c>
      <c r="F13" s="17">
        <f>SUM(B13:E13)</f>
        <v>3236272</v>
      </c>
    </row>
    <row r="14" spans="1:6" x14ac:dyDescent="0.25">
      <c r="A14" s="18" t="s">
        <v>16</v>
      </c>
      <c r="B14" s="25">
        <f>B13+B12</f>
        <v>3234646</v>
      </c>
      <c r="C14" s="25">
        <v>984725</v>
      </c>
      <c r="D14" s="25">
        <v>277093</v>
      </c>
      <c r="E14" s="25">
        <v>144113</v>
      </c>
      <c r="F14" s="19">
        <f>SUM(B14:E14)</f>
        <v>4640577</v>
      </c>
    </row>
    <row r="15" spans="1:6" x14ac:dyDescent="0.25">
      <c r="A15" s="18" t="s">
        <v>17</v>
      </c>
      <c r="B15" s="25">
        <v>471844</v>
      </c>
      <c r="C15" s="25">
        <v>159177</v>
      </c>
      <c r="D15" s="25">
        <v>3192</v>
      </c>
      <c r="E15" s="25">
        <v>358727</v>
      </c>
      <c r="F15" s="19">
        <f>SUM(B15:E15)</f>
        <v>992940</v>
      </c>
    </row>
    <row r="16" spans="1:6" x14ac:dyDescent="0.25">
      <c r="A16" s="18" t="s">
        <v>18</v>
      </c>
      <c r="B16" s="25">
        <f>B15+B14</f>
        <v>3706490</v>
      </c>
      <c r="C16" s="25">
        <v>1143902</v>
      </c>
      <c r="D16" s="25">
        <v>280285</v>
      </c>
      <c r="E16" s="25">
        <v>502840</v>
      </c>
      <c r="F16" s="19">
        <f>SUM(B16:E16)</f>
        <v>5633517</v>
      </c>
    </row>
    <row r="17" spans="1:7" x14ac:dyDescent="0.25">
      <c r="A17" s="70"/>
      <c r="B17" s="70"/>
      <c r="C17" s="70"/>
      <c r="D17" s="70"/>
      <c r="E17" s="70"/>
      <c r="F17" s="70"/>
    </row>
    <row r="18" spans="1:7" x14ac:dyDescent="0.25">
      <c r="A18" s="71" t="s">
        <v>19</v>
      </c>
      <c r="B18" s="72"/>
      <c r="C18" s="72"/>
      <c r="D18" s="72"/>
      <c r="E18" s="72"/>
      <c r="F18" s="73"/>
    </row>
    <row r="19" spans="1:7" x14ac:dyDescent="0.25">
      <c r="A19" s="14" t="s">
        <v>20</v>
      </c>
      <c r="B19" s="17">
        <v>3509</v>
      </c>
      <c r="C19" s="17">
        <v>4</v>
      </c>
      <c r="D19" s="17">
        <v>0</v>
      </c>
      <c r="E19" s="17">
        <v>0</v>
      </c>
      <c r="F19" s="28">
        <f>SUM(B19:E19)</f>
        <v>3513</v>
      </c>
    </row>
    <row r="20" spans="1:7" x14ac:dyDescent="0.25">
      <c r="A20" s="93"/>
      <c r="B20" s="93"/>
      <c r="C20" s="93"/>
      <c r="D20" s="93"/>
      <c r="E20" s="93"/>
      <c r="F20" s="93"/>
    </row>
    <row r="21" spans="1:7" x14ac:dyDescent="0.25">
      <c r="A21" s="18" t="s">
        <v>21</v>
      </c>
      <c r="B21" s="45">
        <f>+B19+B16</f>
        <v>3709999</v>
      </c>
      <c r="C21" s="45">
        <v>1143906</v>
      </c>
      <c r="D21" s="45">
        <v>280285</v>
      </c>
      <c r="E21" s="45">
        <f>E16</f>
        <v>502840</v>
      </c>
      <c r="F21" s="19">
        <f>SUM(B21:E21)</f>
        <v>5637030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45">
        <v>402085</v>
      </c>
      <c r="C24" s="45">
        <v>199962</v>
      </c>
      <c r="D24" s="45">
        <v>139568</v>
      </c>
      <c r="E24" s="45">
        <v>682220</v>
      </c>
      <c r="F24" s="19">
        <f>SUM(B24:E24)</f>
        <v>1423835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45">
        <f>+B24+B21</f>
        <v>4112084</v>
      </c>
      <c r="C27" s="45">
        <f>+C24+C21</f>
        <v>1343868</v>
      </c>
      <c r="D27" s="45">
        <f>+D21+D24</f>
        <v>419853</v>
      </c>
      <c r="E27" s="45">
        <f>+E24+E21</f>
        <v>1185060</v>
      </c>
      <c r="F27" s="19">
        <f>SUM(B27:E27)</f>
        <v>7060865</v>
      </c>
    </row>
    <row r="28" spans="1:7" x14ac:dyDescent="0.25">
      <c r="A28" s="70"/>
      <c r="B28" s="70"/>
      <c r="C28" s="70"/>
      <c r="D28" s="70"/>
      <c r="E28" s="70"/>
      <c r="F28" s="70"/>
      <c r="G28" s="70"/>
    </row>
    <row r="29" spans="1:7" x14ac:dyDescent="0.25">
      <c r="A29" s="75" t="s">
        <v>26</v>
      </c>
      <c r="B29" s="76"/>
      <c r="C29" s="76"/>
      <c r="D29" s="76"/>
      <c r="E29" s="76"/>
      <c r="F29" s="77"/>
    </row>
    <row r="30" spans="1:7" x14ac:dyDescent="0.25">
      <c r="A30" s="14" t="s">
        <v>27</v>
      </c>
      <c r="B30" s="17">
        <v>1244806</v>
      </c>
      <c r="C30" s="17">
        <v>140002</v>
      </c>
      <c r="D30" s="17">
        <v>74944</v>
      </c>
      <c r="E30" s="17">
        <v>216097</v>
      </c>
      <c r="F30" s="28">
        <f>SUM(B30:E30)</f>
        <v>1675849</v>
      </c>
    </row>
    <row r="31" spans="1:7" x14ac:dyDescent="0.25">
      <c r="A31" s="70"/>
      <c r="B31" s="70"/>
      <c r="C31" s="70"/>
      <c r="D31" s="70"/>
      <c r="E31" s="70"/>
      <c r="F31" s="70"/>
      <c r="G31" s="70"/>
    </row>
    <row r="32" spans="1:7" x14ac:dyDescent="0.25">
      <c r="A32" s="75" t="s">
        <v>28</v>
      </c>
      <c r="B32" s="76"/>
      <c r="C32" s="76"/>
      <c r="D32" s="76"/>
      <c r="E32" s="76"/>
      <c r="F32" s="77"/>
    </row>
    <row r="33" spans="1:8" x14ac:dyDescent="0.25">
      <c r="A33" s="14" t="s">
        <v>29</v>
      </c>
      <c r="B33" s="17">
        <v>3883384476030</v>
      </c>
      <c r="C33" s="28">
        <v>709966278540</v>
      </c>
      <c r="D33" s="17">
        <v>252301761543</v>
      </c>
      <c r="E33" s="17">
        <v>461421746001</v>
      </c>
      <c r="F33" s="28">
        <f>SUM(B33:E33)</f>
        <v>5307074262114</v>
      </c>
    </row>
    <row r="34" spans="1:8" x14ac:dyDescent="0.25">
      <c r="A34" s="14" t="s">
        <v>30</v>
      </c>
      <c r="B34" s="17">
        <v>170191079118</v>
      </c>
      <c r="C34" s="28">
        <v>70702675188</v>
      </c>
      <c r="D34" s="17">
        <v>41039828200</v>
      </c>
      <c r="E34" s="17">
        <v>202815987903</v>
      </c>
      <c r="F34" s="28">
        <f>SUM(B34:E34)</f>
        <v>484749570409</v>
      </c>
    </row>
    <row r="35" spans="1:8" x14ac:dyDescent="0.25">
      <c r="A35" s="41" t="s">
        <v>31</v>
      </c>
      <c r="B35" s="45">
        <f>SUM(B33:B34)</f>
        <v>4053575555148</v>
      </c>
      <c r="C35" s="45">
        <f>+C34+C33</f>
        <v>780668953728</v>
      </c>
      <c r="D35" s="45">
        <v>293341589743</v>
      </c>
      <c r="E35" s="45">
        <v>664237733904</v>
      </c>
      <c r="F35" s="42">
        <f>SUM(B35:E35)</f>
        <v>5791823832523</v>
      </c>
    </row>
    <row r="36" spans="1:8" x14ac:dyDescent="0.25">
      <c r="A36" s="94" t="s">
        <v>32</v>
      </c>
      <c r="B36" s="94"/>
      <c r="C36" s="94"/>
      <c r="D36" s="94"/>
      <c r="E36" s="94"/>
      <c r="F36" s="94"/>
      <c r="G36" s="94"/>
    </row>
    <row r="37" spans="1:8" x14ac:dyDescent="0.25">
      <c r="A37" s="40"/>
      <c r="B37" s="40"/>
      <c r="C37" s="40"/>
      <c r="D37" s="40"/>
      <c r="E37" s="40"/>
      <c r="F37" s="40"/>
      <c r="G37" s="40"/>
    </row>
    <row r="38" spans="1:8" ht="21" x14ac:dyDescent="0.35">
      <c r="A38" s="79" t="s">
        <v>33</v>
      </c>
      <c r="B38" s="80"/>
      <c r="C38" s="80"/>
      <c r="D38" s="80"/>
      <c r="E38" s="80"/>
      <c r="F38" s="81"/>
    </row>
    <row r="39" spans="1:8" x14ac:dyDescent="0.25">
      <c r="A39" s="75" t="s">
        <v>34</v>
      </c>
      <c r="B39" s="76"/>
      <c r="C39" s="76"/>
      <c r="D39" s="76"/>
      <c r="E39" s="76"/>
      <c r="F39" s="77"/>
    </row>
    <row r="40" spans="1:8" x14ac:dyDescent="0.25">
      <c r="A40" s="14" t="s">
        <v>35</v>
      </c>
      <c r="B40" s="17">
        <v>741021</v>
      </c>
      <c r="C40" s="17">
        <v>118363</v>
      </c>
      <c r="D40" s="17">
        <v>55727</v>
      </c>
      <c r="E40" s="17">
        <v>76716</v>
      </c>
      <c r="F40" s="28">
        <f>SUM(B40:E40)</f>
        <v>991827</v>
      </c>
      <c r="G40" s="7"/>
      <c r="H40" s="7"/>
    </row>
    <row r="41" spans="1:8" x14ac:dyDescent="0.25">
      <c r="A41" s="14" t="s">
        <v>36</v>
      </c>
      <c r="B41" s="17">
        <f>4964027003/1000000</f>
        <v>4964.0270030000001</v>
      </c>
      <c r="C41" s="17">
        <v>1290.04603</v>
      </c>
      <c r="D41" s="17">
        <v>586</v>
      </c>
      <c r="E41" s="17">
        <v>771.28925500000003</v>
      </c>
      <c r="F41" s="11">
        <f>SUM(B41:E41)</f>
        <v>7611.3622880000003</v>
      </c>
      <c r="G41" s="7"/>
      <c r="H41" s="7"/>
    </row>
    <row r="42" spans="1:8" x14ac:dyDescent="0.25">
      <c r="A42" s="70"/>
      <c r="B42" s="70"/>
      <c r="C42" s="70"/>
      <c r="D42" s="70"/>
      <c r="E42" s="70"/>
      <c r="F42" s="70"/>
      <c r="G42" s="70"/>
      <c r="H42" s="7"/>
    </row>
    <row r="43" spans="1:8" x14ac:dyDescent="0.25">
      <c r="A43" s="69" t="s">
        <v>37</v>
      </c>
      <c r="B43" s="69"/>
      <c r="C43" s="69"/>
      <c r="D43" s="69"/>
      <c r="E43" s="69"/>
      <c r="F43" s="69"/>
      <c r="H43" s="7"/>
    </row>
    <row r="44" spans="1:8" x14ac:dyDescent="0.25">
      <c r="A44" s="14" t="s">
        <v>38</v>
      </c>
      <c r="B44" s="17">
        <v>9</v>
      </c>
      <c r="C44" s="17">
        <v>8</v>
      </c>
      <c r="D44" s="17">
        <v>5</v>
      </c>
      <c r="E44" s="17">
        <v>0</v>
      </c>
      <c r="F44" s="28">
        <f>SUM(B44:E44)</f>
        <v>22</v>
      </c>
      <c r="G44" s="7"/>
      <c r="H44" s="7"/>
    </row>
    <row r="45" spans="1:8" x14ac:dyDescent="0.25">
      <c r="A45" s="14" t="s">
        <v>39</v>
      </c>
      <c r="B45" s="17">
        <f>4636940/1000000</f>
        <v>4.6369400000000001</v>
      </c>
      <c r="C45" s="17">
        <v>7.8024999999999997E-2</v>
      </c>
      <c r="D45" s="17">
        <v>0.04</v>
      </c>
      <c r="E45" s="17">
        <v>0</v>
      </c>
      <c r="F45" s="11">
        <f>SUM(B45:E45)</f>
        <v>4.7549650000000003</v>
      </c>
      <c r="G45" s="7"/>
      <c r="H45" s="7"/>
    </row>
    <row r="46" spans="1:8" x14ac:dyDescent="0.25">
      <c r="A46" s="70"/>
      <c r="B46" s="70"/>
      <c r="C46" s="70"/>
      <c r="D46" s="70"/>
      <c r="E46" s="70"/>
      <c r="F46" s="70"/>
      <c r="G46" s="70"/>
      <c r="H46" s="7"/>
    </row>
    <row r="47" spans="1:8" x14ac:dyDescent="0.25">
      <c r="A47" s="69" t="s">
        <v>40</v>
      </c>
      <c r="B47" s="69"/>
      <c r="C47" s="69"/>
      <c r="D47" s="69"/>
      <c r="E47" s="69"/>
      <c r="F47" s="69"/>
      <c r="H47" s="7"/>
    </row>
    <row r="48" spans="1:8" x14ac:dyDescent="0.25">
      <c r="A48" s="14" t="s">
        <v>41</v>
      </c>
      <c r="B48" s="17">
        <v>160026</v>
      </c>
      <c r="C48" s="17">
        <v>76631</v>
      </c>
      <c r="D48" s="17">
        <v>9685</v>
      </c>
      <c r="E48" s="17">
        <v>56399</v>
      </c>
      <c r="F48" s="28">
        <f>SUM(B48:E48)</f>
        <v>302741</v>
      </c>
      <c r="G48" s="7"/>
      <c r="H48" s="7"/>
    </row>
    <row r="49" spans="1:8" x14ac:dyDescent="0.25">
      <c r="A49" s="14" t="s">
        <v>42</v>
      </c>
      <c r="B49" s="17">
        <f>(80190364810+1603199680)/1000000</f>
        <v>81793.564490000004</v>
      </c>
      <c r="C49" s="17">
        <v>29628</v>
      </c>
      <c r="D49" s="17">
        <v>9740</v>
      </c>
      <c r="E49" s="17">
        <v>11309.044461</v>
      </c>
      <c r="F49" s="11">
        <f>SUM(B49:E49)</f>
        <v>132470.608951</v>
      </c>
      <c r="G49" s="7"/>
      <c r="H49" s="7"/>
    </row>
    <row r="50" spans="1:8" x14ac:dyDescent="0.25">
      <c r="A50" s="70"/>
      <c r="B50" s="70"/>
      <c r="C50" s="70"/>
      <c r="D50" s="70"/>
      <c r="E50" s="70"/>
      <c r="F50" s="70"/>
      <c r="G50" s="70"/>
    </row>
    <row r="51" spans="1:8" ht="21" x14ac:dyDescent="0.35">
      <c r="A51" s="79" t="s">
        <v>43</v>
      </c>
      <c r="B51" s="80"/>
      <c r="C51" s="80"/>
      <c r="D51" s="80"/>
      <c r="E51" s="80"/>
      <c r="F51" s="81"/>
    </row>
    <row r="52" spans="1:8" x14ac:dyDescent="0.25">
      <c r="A52" s="89"/>
      <c r="B52" s="89"/>
      <c r="C52" s="89"/>
      <c r="D52" s="89"/>
      <c r="E52" s="89"/>
      <c r="F52" s="89"/>
      <c r="G52" s="89"/>
    </row>
    <row r="53" spans="1:8" x14ac:dyDescent="0.25">
      <c r="A53" s="69" t="s">
        <v>44</v>
      </c>
      <c r="B53" s="69"/>
      <c r="C53" s="69"/>
      <c r="D53" s="69"/>
      <c r="E53" s="69"/>
      <c r="F53" s="69"/>
    </row>
    <row r="54" spans="1:8" x14ac:dyDescent="0.25">
      <c r="A54" s="74" t="s">
        <v>45</v>
      </c>
      <c r="B54" s="74"/>
      <c r="C54" s="74"/>
      <c r="D54" s="74"/>
      <c r="E54" s="74"/>
      <c r="F54" s="74"/>
    </row>
    <row r="55" spans="1:8" x14ac:dyDescent="0.25">
      <c r="A55" s="14" t="s">
        <v>46</v>
      </c>
      <c r="B55" s="17">
        <v>111480</v>
      </c>
      <c r="C55" s="17">
        <v>5088</v>
      </c>
      <c r="D55" s="17">
        <v>1362</v>
      </c>
      <c r="E55" s="17">
        <v>5052</v>
      </c>
      <c r="F55" s="28">
        <f t="shared" ref="F55:F71" si="0">SUM(B55:E55)</f>
        <v>122982</v>
      </c>
    </row>
    <row r="56" spans="1:8" x14ac:dyDescent="0.25">
      <c r="A56" s="14" t="s">
        <v>47</v>
      </c>
      <c r="B56" s="17">
        <v>64020.589523000002</v>
      </c>
      <c r="C56" s="17">
        <v>5833.55114400003</v>
      </c>
      <c r="D56" s="17">
        <v>1888</v>
      </c>
      <c r="E56" s="17">
        <v>12736</v>
      </c>
      <c r="F56" s="28">
        <f t="shared" si="0"/>
        <v>84478.140667000029</v>
      </c>
    </row>
    <row r="57" spans="1:8" x14ac:dyDescent="0.25">
      <c r="A57" s="14" t="s">
        <v>48</v>
      </c>
      <c r="B57" s="17">
        <v>11.685791173304599</v>
      </c>
      <c r="C57" s="17">
        <v>35</v>
      </c>
      <c r="D57" s="17">
        <v>20</v>
      </c>
      <c r="E57" s="17">
        <v>30</v>
      </c>
      <c r="F57" s="28">
        <f>AVERAGE(B57:E57)</f>
        <v>24.171447793326152</v>
      </c>
    </row>
    <row r="58" spans="1:8" x14ac:dyDescent="0.25">
      <c r="A58" s="14" t="s">
        <v>49</v>
      </c>
      <c r="B58" s="17">
        <v>797152</v>
      </c>
      <c r="C58" s="28">
        <v>145203</v>
      </c>
      <c r="D58" s="98">
        <v>51559</v>
      </c>
      <c r="E58" s="17">
        <v>78748</v>
      </c>
      <c r="F58" s="28">
        <f t="shared" si="0"/>
        <v>1072662</v>
      </c>
    </row>
    <row r="59" spans="1:8" x14ac:dyDescent="0.25">
      <c r="A59" s="14" t="s">
        <v>50</v>
      </c>
      <c r="B59" s="17">
        <v>1784497.634146</v>
      </c>
      <c r="C59" s="28">
        <v>262319.98548799998</v>
      </c>
      <c r="D59" s="98">
        <v>109445.053617</v>
      </c>
      <c r="E59" s="17">
        <v>181643</v>
      </c>
      <c r="F59" s="11">
        <f t="shared" si="0"/>
        <v>2337905.6732510002</v>
      </c>
    </row>
    <row r="60" spans="1:8" x14ac:dyDescent="0.25">
      <c r="A60" s="74" t="s">
        <v>51</v>
      </c>
      <c r="B60" s="74"/>
      <c r="C60" s="74"/>
      <c r="D60" s="74"/>
      <c r="E60" s="74"/>
      <c r="F60" s="74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 x14ac:dyDescent="0.25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 x14ac:dyDescent="0.25">
      <c r="A66" s="74" t="s">
        <v>52</v>
      </c>
      <c r="B66" s="74"/>
      <c r="C66" s="74"/>
      <c r="D66" s="74"/>
      <c r="E66" s="74"/>
      <c r="F66" s="74"/>
    </row>
    <row r="67" spans="1:7" x14ac:dyDescent="0.25">
      <c r="A67" s="14" t="s">
        <v>46</v>
      </c>
      <c r="B67" s="17">
        <v>7566</v>
      </c>
      <c r="C67" s="17">
        <v>1852</v>
      </c>
      <c r="D67" s="17">
        <v>1710</v>
      </c>
      <c r="E67" s="17">
        <v>14694</v>
      </c>
      <c r="F67" s="28">
        <f t="shared" si="0"/>
        <v>25822</v>
      </c>
    </row>
    <row r="68" spans="1:7" x14ac:dyDescent="0.25">
      <c r="A68" s="14" t="s">
        <v>47</v>
      </c>
      <c r="B68" s="17">
        <v>5702.4195760000002</v>
      </c>
      <c r="C68" s="17">
        <v>1922.8882100000001</v>
      </c>
      <c r="D68" s="17">
        <v>1859</v>
      </c>
      <c r="E68" s="17">
        <v>19608</v>
      </c>
      <c r="F68" s="28">
        <f t="shared" si="0"/>
        <v>29092.307786000001</v>
      </c>
    </row>
    <row r="69" spans="1:7" x14ac:dyDescent="0.25">
      <c r="A69" s="14" t="s">
        <v>48</v>
      </c>
      <c r="B69" s="17">
        <v>37.692836373248703</v>
      </c>
      <c r="C69" s="17">
        <v>54</v>
      </c>
      <c r="D69" s="17">
        <v>46</v>
      </c>
      <c r="E69" s="17">
        <v>39</v>
      </c>
      <c r="F69" s="28">
        <f>AVERAGE(B69:E69)</f>
        <v>44.173209093312174</v>
      </c>
    </row>
    <row r="70" spans="1:7" x14ac:dyDescent="0.25">
      <c r="A70" s="14" t="s">
        <v>49</v>
      </c>
      <c r="B70" s="17">
        <v>136215</v>
      </c>
      <c r="C70" s="28">
        <v>88005</v>
      </c>
      <c r="D70" s="17">
        <v>62471</v>
      </c>
      <c r="E70" s="17">
        <v>274033</v>
      </c>
      <c r="F70" s="28">
        <f t="shared" si="0"/>
        <v>560724</v>
      </c>
    </row>
    <row r="71" spans="1:7" x14ac:dyDescent="0.25">
      <c r="A71" s="14" t="s">
        <v>50</v>
      </c>
      <c r="B71" s="17">
        <v>139795.289709</v>
      </c>
      <c r="C71" s="28">
        <v>101765.596574</v>
      </c>
      <c r="D71" s="17">
        <v>64680.480216999997</v>
      </c>
      <c r="E71" s="17">
        <v>246637</v>
      </c>
      <c r="F71" s="11">
        <f t="shared" si="0"/>
        <v>552878.3665</v>
      </c>
    </row>
    <row r="72" spans="1:7" x14ac:dyDescent="0.25">
      <c r="A72" s="83" t="s">
        <v>53</v>
      </c>
      <c r="B72" s="84"/>
      <c r="C72" s="84"/>
      <c r="D72" s="84"/>
      <c r="E72" s="84"/>
      <c r="F72" s="85"/>
    </row>
    <row r="73" spans="1:7" x14ac:dyDescent="0.25">
      <c r="A73" s="18" t="s">
        <v>54</v>
      </c>
      <c r="B73" s="19">
        <f>+B55+B67</f>
        <v>119046</v>
      </c>
      <c r="C73" s="19">
        <f>+C67+C61+C55</f>
        <v>6940</v>
      </c>
      <c r="D73" s="19">
        <v>3072</v>
      </c>
      <c r="E73" s="19">
        <v>19746</v>
      </c>
      <c r="F73" s="19">
        <f>SUM(B73:E73)</f>
        <v>148804</v>
      </c>
    </row>
    <row r="74" spans="1:7" x14ac:dyDescent="0.25">
      <c r="A74" s="18" t="s">
        <v>47</v>
      </c>
      <c r="B74" s="19">
        <f>+B56+B68</f>
        <v>69723.009099000003</v>
      </c>
      <c r="C74" s="19">
        <f t="shared" ref="C74" si="1">+C68+C62+C56</f>
        <v>7756.4393540000301</v>
      </c>
      <c r="D74" s="19">
        <v>3747</v>
      </c>
      <c r="E74" s="19">
        <v>32344</v>
      </c>
      <c r="F74" s="22">
        <f>SUM(B74:E74)</f>
        <v>113570.44845300003</v>
      </c>
    </row>
    <row r="75" spans="1:7" x14ac:dyDescent="0.25">
      <c r="A75" s="18" t="s">
        <v>48</v>
      </c>
      <c r="B75" s="19">
        <v>13.338675805991</v>
      </c>
      <c r="C75" s="19">
        <v>30</v>
      </c>
      <c r="D75" s="19">
        <v>35</v>
      </c>
      <c r="E75" s="19">
        <v>34.5</v>
      </c>
      <c r="F75" s="19">
        <f>AVERAGE(B75:E75)</f>
        <v>28.209668951497751</v>
      </c>
    </row>
    <row r="76" spans="1:7" x14ac:dyDescent="0.25">
      <c r="A76" s="18" t="s">
        <v>49</v>
      </c>
      <c r="B76" s="19">
        <f>+B58+B70</f>
        <v>933367</v>
      </c>
      <c r="C76" s="19">
        <v>233208</v>
      </c>
      <c r="D76" s="19">
        <v>114030</v>
      </c>
      <c r="E76" s="19">
        <v>352781</v>
      </c>
      <c r="F76" s="19">
        <f>SUM(B76:E76)</f>
        <v>1633386</v>
      </c>
    </row>
    <row r="77" spans="1:7" x14ac:dyDescent="0.25">
      <c r="A77" s="18" t="s">
        <v>50</v>
      </c>
      <c r="B77" s="19">
        <f>+B59+B71</f>
        <v>1924292.9238549999</v>
      </c>
      <c r="C77" s="19">
        <v>364085.58206199994</v>
      </c>
      <c r="D77" s="19">
        <v>174125.533834</v>
      </c>
      <c r="E77" s="19">
        <v>428280</v>
      </c>
      <c r="F77" s="22">
        <f>SUM(B77:E77)</f>
        <v>2890784.0397509998</v>
      </c>
    </row>
    <row r="78" spans="1:7" x14ac:dyDescent="0.25">
      <c r="A78" s="70"/>
      <c r="B78" s="70"/>
      <c r="C78" s="70"/>
      <c r="D78" s="70"/>
      <c r="E78" s="70"/>
      <c r="F78" s="70"/>
      <c r="G78" s="70"/>
    </row>
    <row r="79" spans="1:7" x14ac:dyDescent="0.25">
      <c r="A79" s="75" t="s">
        <v>55</v>
      </c>
      <c r="B79" s="76"/>
      <c r="C79" s="76"/>
      <c r="D79" s="76"/>
      <c r="E79" s="76"/>
      <c r="F79" s="77"/>
    </row>
    <row r="80" spans="1:7" x14ac:dyDescent="0.25">
      <c r="A80" s="71" t="s">
        <v>45</v>
      </c>
      <c r="B80" s="72"/>
      <c r="C80" s="72"/>
      <c r="D80" s="72"/>
      <c r="E80" s="72"/>
      <c r="F80" s="73"/>
    </row>
    <row r="81" spans="1:6" x14ac:dyDescent="0.25">
      <c r="A81" s="14" t="s">
        <v>46</v>
      </c>
      <c r="B81" s="17">
        <v>0</v>
      </c>
      <c r="C81" s="17">
        <v>0</v>
      </c>
      <c r="D81" s="17">
        <v>0</v>
      </c>
      <c r="E81" s="17">
        <v>0</v>
      </c>
      <c r="F81" s="20">
        <f>SUM(B81:E81)</f>
        <v>0</v>
      </c>
    </row>
    <row r="82" spans="1:6" x14ac:dyDescent="0.25">
      <c r="A82" s="14" t="s">
        <v>47</v>
      </c>
      <c r="B82" s="17">
        <v>0</v>
      </c>
      <c r="C82" s="17">
        <v>0</v>
      </c>
      <c r="D82" s="17">
        <v>0</v>
      </c>
      <c r="E82" s="17">
        <v>0</v>
      </c>
      <c r="F82" s="24">
        <f>SUM(B82:E82)</f>
        <v>0</v>
      </c>
    </row>
    <row r="83" spans="1:6" x14ac:dyDescent="0.25">
      <c r="A83" s="14" t="s">
        <v>48</v>
      </c>
      <c r="B83" s="17">
        <v>0</v>
      </c>
      <c r="C83" s="17">
        <v>0</v>
      </c>
      <c r="D83" s="17">
        <v>0</v>
      </c>
      <c r="E83" s="17">
        <v>0</v>
      </c>
      <c r="F83" s="24">
        <f>AVERAGE(B83:E83)</f>
        <v>0</v>
      </c>
    </row>
    <row r="84" spans="1:6" x14ac:dyDescent="0.25">
      <c r="A84" s="14" t="s">
        <v>49</v>
      </c>
      <c r="B84" s="17">
        <v>1009</v>
      </c>
      <c r="C84" s="17">
        <v>116</v>
      </c>
      <c r="D84" s="17">
        <v>6</v>
      </c>
      <c r="E84" s="17">
        <v>95</v>
      </c>
      <c r="F84" s="24">
        <f>SUM(B84:E84)</f>
        <v>1226</v>
      </c>
    </row>
    <row r="85" spans="1:6" x14ac:dyDescent="0.25">
      <c r="A85" s="14" t="s">
        <v>50</v>
      </c>
      <c r="B85" s="17">
        <v>21795.093309</v>
      </c>
      <c r="C85" s="17">
        <v>1469</v>
      </c>
      <c r="D85" s="17">
        <v>77</v>
      </c>
      <c r="E85" s="17">
        <v>1731.7534720000001</v>
      </c>
      <c r="F85" s="11">
        <f>SUM(B85:E85)</f>
        <v>25072.846781</v>
      </c>
    </row>
    <row r="86" spans="1:6" x14ac:dyDescent="0.25">
      <c r="A86" s="71" t="s">
        <v>51</v>
      </c>
      <c r="B86" s="72"/>
      <c r="C86" s="72"/>
      <c r="D86" s="72"/>
      <c r="E86" s="72"/>
      <c r="F86" s="73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 x14ac:dyDescent="0.25">
      <c r="A92" s="71" t="s">
        <v>52</v>
      </c>
      <c r="B92" s="72"/>
      <c r="C92" s="72"/>
      <c r="D92" s="72"/>
      <c r="E92" s="72"/>
      <c r="F92" s="73"/>
    </row>
    <row r="93" spans="1:6" x14ac:dyDescent="0.25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 x14ac:dyDescent="0.25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 x14ac:dyDescent="0.25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 x14ac:dyDescent="0.25">
      <c r="A96" s="14" t="s">
        <v>49</v>
      </c>
      <c r="B96" s="17">
        <v>10</v>
      </c>
      <c r="C96" s="17">
        <v>0</v>
      </c>
      <c r="D96" s="17">
        <v>0</v>
      </c>
      <c r="E96" s="17">
        <v>8</v>
      </c>
      <c r="F96" s="28">
        <f>SUM(B96:E96)</f>
        <v>18</v>
      </c>
    </row>
    <row r="97" spans="1:7" x14ac:dyDescent="0.25">
      <c r="A97" s="14" t="s">
        <v>50</v>
      </c>
      <c r="B97" s="17">
        <v>176.83284</v>
      </c>
      <c r="C97" s="17">
        <v>0</v>
      </c>
      <c r="D97" s="17">
        <v>0</v>
      </c>
      <c r="E97" s="17">
        <v>98.131707000000006</v>
      </c>
      <c r="F97" s="11">
        <f>SUM(B97:E97)</f>
        <v>274.96454700000004</v>
      </c>
    </row>
    <row r="98" spans="1:7" x14ac:dyDescent="0.25">
      <c r="A98" s="83" t="s">
        <v>56</v>
      </c>
      <c r="B98" s="84"/>
      <c r="C98" s="84"/>
      <c r="D98" s="84"/>
      <c r="E98" s="84"/>
      <c r="F98" s="85"/>
    </row>
    <row r="99" spans="1:7" x14ac:dyDescent="0.25">
      <c r="A99" s="18" t="s">
        <v>46</v>
      </c>
      <c r="B99" s="19">
        <v>0</v>
      </c>
      <c r="C99" s="19">
        <v>0</v>
      </c>
      <c r="D99" s="19">
        <v>0</v>
      </c>
      <c r="E99" s="19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9">
        <v>0</v>
      </c>
      <c r="D100" s="19">
        <v>0</v>
      </c>
      <c r="E100" s="19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 x14ac:dyDescent="0.25">
      <c r="A102" s="18" t="s">
        <v>49</v>
      </c>
      <c r="B102" s="19">
        <f>+B96+B84</f>
        <v>1019</v>
      </c>
      <c r="C102" s="19">
        <f t="shared" ref="C102:C103" si="2">+C96+C90+C84</f>
        <v>116</v>
      </c>
      <c r="D102" s="19">
        <f>+D84</f>
        <v>6</v>
      </c>
      <c r="E102" s="19">
        <f>+E96+E84</f>
        <v>103</v>
      </c>
      <c r="F102" s="19">
        <f>SUM(B102:E102)</f>
        <v>1244</v>
      </c>
    </row>
    <row r="103" spans="1:7" x14ac:dyDescent="0.25">
      <c r="A103" s="18" t="s">
        <v>50</v>
      </c>
      <c r="B103" s="19">
        <f>+B97+B85</f>
        <v>21971.926148999999</v>
      </c>
      <c r="C103" s="19">
        <f t="shared" si="2"/>
        <v>1469</v>
      </c>
      <c r="D103" s="19">
        <f>+D85</f>
        <v>77</v>
      </c>
      <c r="E103" s="19">
        <f>+E85+E97</f>
        <v>1829.8851790000001</v>
      </c>
      <c r="F103" s="22">
        <f>SUM(B103:E103)</f>
        <v>25347.811328</v>
      </c>
    </row>
    <row r="104" spans="1:7" x14ac:dyDescent="0.25">
      <c r="A104" s="70"/>
      <c r="B104" s="70"/>
      <c r="C104" s="70"/>
      <c r="D104" s="70"/>
      <c r="E104" s="70"/>
      <c r="F104" s="70"/>
      <c r="G104" s="70"/>
    </row>
    <row r="105" spans="1:7" x14ac:dyDescent="0.25">
      <c r="A105" s="69" t="s">
        <v>57</v>
      </c>
      <c r="B105" s="69"/>
      <c r="C105" s="69"/>
      <c r="D105" s="69"/>
      <c r="E105" s="69"/>
      <c r="F105" s="69"/>
    </row>
    <row r="106" spans="1:7" x14ac:dyDescent="0.25">
      <c r="A106" s="74" t="s">
        <v>58</v>
      </c>
      <c r="B106" s="74"/>
      <c r="C106" s="74"/>
      <c r="D106" s="74"/>
      <c r="E106" s="74"/>
      <c r="F106" s="74"/>
    </row>
    <row r="107" spans="1:7" x14ac:dyDescent="0.25">
      <c r="A107" s="14" t="s">
        <v>59</v>
      </c>
      <c r="B107" s="13">
        <v>2.8509566555830776</v>
      </c>
      <c r="C107" s="13">
        <v>2.5499999999999998</v>
      </c>
      <c r="D107" s="14">
        <v>2.92</v>
      </c>
      <c r="E107" s="13">
        <v>2.5436704900938354</v>
      </c>
      <c r="F107" s="13">
        <f>AVERAGE(B107:E107)</f>
        <v>2.7161567864192282</v>
      </c>
    </row>
    <row r="108" spans="1:7" x14ac:dyDescent="0.25">
      <c r="A108" s="14" t="s">
        <v>60</v>
      </c>
      <c r="B108" s="13">
        <v>2.5436704900938354</v>
      </c>
      <c r="C108" s="13">
        <v>2.65</v>
      </c>
      <c r="D108" s="14">
        <v>2.8</v>
      </c>
      <c r="E108" s="13">
        <v>2.66</v>
      </c>
      <c r="F108" s="13">
        <f>AVERAGE(B108:E108)</f>
        <v>2.6634176225234585</v>
      </c>
    </row>
    <row r="109" spans="1:7" x14ac:dyDescent="0.25">
      <c r="A109" s="14" t="s">
        <v>61</v>
      </c>
      <c r="B109" s="13">
        <v>2.3185960028012254</v>
      </c>
      <c r="C109" s="13">
        <v>2.65</v>
      </c>
      <c r="D109" s="14">
        <v>2.8</v>
      </c>
      <c r="E109" s="13">
        <v>2.69</v>
      </c>
      <c r="F109" s="13">
        <f>AVERAGE(B109:E109)</f>
        <v>2.6146490007003065</v>
      </c>
    </row>
    <row r="110" spans="1:7" x14ac:dyDescent="0.25">
      <c r="A110" s="74" t="s">
        <v>62</v>
      </c>
      <c r="B110" s="74"/>
      <c r="C110" s="74"/>
      <c r="D110" s="74"/>
      <c r="E110" s="74"/>
      <c r="F110" s="74"/>
    </row>
    <row r="111" spans="1:7" x14ac:dyDescent="0.25">
      <c r="A111" s="14" t="s">
        <v>59</v>
      </c>
      <c r="B111" s="13">
        <v>1.7999999999999987</v>
      </c>
      <c r="C111" s="13">
        <v>1.95</v>
      </c>
      <c r="D111" s="14">
        <v>1.8</v>
      </c>
      <c r="E111" s="13">
        <v>1.7999999999999987</v>
      </c>
      <c r="F111" s="13">
        <f>AVERAGE(B111:E111)</f>
        <v>1.8374999999999995</v>
      </c>
    </row>
    <row r="112" spans="1:7" x14ac:dyDescent="0.25">
      <c r="A112" s="14" t="s">
        <v>60</v>
      </c>
      <c r="B112" s="13">
        <v>2.1348837209302336</v>
      </c>
      <c r="C112" s="13">
        <v>2.16</v>
      </c>
      <c r="D112" s="14">
        <v>2.15</v>
      </c>
      <c r="E112" s="13">
        <v>2.16</v>
      </c>
      <c r="F112" s="13">
        <f>AVERAGE(B112:E112)</f>
        <v>2.1512209302325584</v>
      </c>
    </row>
    <row r="113" spans="1:8" x14ac:dyDescent="0.25">
      <c r="A113" s="14" t="s">
        <v>61</v>
      </c>
      <c r="B113" s="13">
        <v>2.1357352941176471</v>
      </c>
      <c r="C113" s="13">
        <v>2.16</v>
      </c>
      <c r="D113" s="14">
        <v>2.19</v>
      </c>
      <c r="E113" s="14">
        <v>2.19</v>
      </c>
      <c r="F113" s="13">
        <f>AVERAGE(B113:E113)</f>
        <v>2.1689338235294118</v>
      </c>
    </row>
    <row r="114" spans="1:8" x14ac:dyDescent="0.25">
      <c r="A114" s="70"/>
      <c r="B114" s="70"/>
      <c r="C114" s="70"/>
      <c r="D114" s="70"/>
      <c r="E114" s="70"/>
      <c r="F114" s="70"/>
      <c r="G114" s="70"/>
      <c r="H114" s="70"/>
    </row>
    <row r="115" spans="1:8" x14ac:dyDescent="0.25">
      <c r="A115" s="74" t="s">
        <v>63</v>
      </c>
      <c r="B115" s="74"/>
      <c r="C115" s="74"/>
      <c r="D115" s="74"/>
      <c r="E115" s="74"/>
      <c r="F115" s="74"/>
    </row>
    <row r="116" spans="1:8" x14ac:dyDescent="0.25">
      <c r="A116" s="14" t="s">
        <v>59</v>
      </c>
      <c r="B116" s="13">
        <v>1.5080102301790435</v>
      </c>
      <c r="C116" s="13">
        <v>1.79</v>
      </c>
      <c r="D116" s="20">
        <v>2.0699999999999998</v>
      </c>
      <c r="E116" s="13">
        <v>1.78</v>
      </c>
      <c r="F116" s="13">
        <f>AVERAGE(B116:E116)</f>
        <v>1.787002557544761</v>
      </c>
    </row>
    <row r="117" spans="1:8" x14ac:dyDescent="0.25">
      <c r="A117" s="14" t="s">
        <v>60</v>
      </c>
      <c r="B117" s="13">
        <v>1.7576524390244701</v>
      </c>
      <c r="C117" s="13">
        <v>1.79</v>
      </c>
      <c r="D117" s="20">
        <v>2.0299999999999998</v>
      </c>
      <c r="E117" s="13">
        <v>1.78</v>
      </c>
      <c r="F117" s="13">
        <f>AVERAGE(B117:E117)</f>
        <v>1.8394131097561177</v>
      </c>
    </row>
    <row r="118" spans="1:8" x14ac:dyDescent="0.25">
      <c r="A118" s="14" t="s">
        <v>61</v>
      </c>
      <c r="B118" s="13">
        <v>1.7141781863423156</v>
      </c>
      <c r="C118" s="13">
        <v>1.74</v>
      </c>
      <c r="D118" s="20">
        <v>2.25</v>
      </c>
      <c r="E118" s="13">
        <v>1.99</v>
      </c>
      <c r="F118" s="13">
        <f>AVERAGE(B118:E118)</f>
        <v>1.9235445465855789</v>
      </c>
    </row>
    <row r="119" spans="1:8" x14ac:dyDescent="0.25">
      <c r="A119" s="71" t="s">
        <v>64</v>
      </c>
      <c r="B119" s="72"/>
      <c r="C119" s="72"/>
      <c r="D119" s="72"/>
      <c r="E119" s="72"/>
      <c r="F119" s="73"/>
    </row>
    <row r="120" spans="1:8" x14ac:dyDescent="0.25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14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14">
        <v>1.85</v>
      </c>
      <c r="E122" s="13">
        <v>1.74</v>
      </c>
      <c r="F122" s="13">
        <f>AVERAGE(B122:E122)</f>
        <v>1.6125</v>
      </c>
    </row>
    <row r="123" spans="1:8" x14ac:dyDescent="0.25">
      <c r="A123" s="70"/>
      <c r="B123" s="70"/>
      <c r="C123" s="70"/>
      <c r="D123" s="70"/>
      <c r="E123" s="70"/>
      <c r="F123" s="70"/>
      <c r="G123" s="70"/>
    </row>
    <row r="124" spans="1:8" x14ac:dyDescent="0.25">
      <c r="A124" s="75" t="s">
        <v>65</v>
      </c>
      <c r="B124" s="76"/>
      <c r="C124" s="76"/>
      <c r="D124" s="76"/>
      <c r="E124" s="76"/>
      <c r="F124" s="77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75" t="s">
        <v>67</v>
      </c>
      <c r="B126" s="76"/>
      <c r="C126" s="76"/>
      <c r="D126" s="76"/>
      <c r="E126" s="76"/>
      <c r="F126" s="77"/>
    </row>
    <row r="127" spans="1:8" x14ac:dyDescent="0.25">
      <c r="A127" s="3" t="s">
        <v>68</v>
      </c>
      <c r="B127" s="13">
        <v>1.89</v>
      </c>
      <c r="C127" s="39">
        <v>2.062503</v>
      </c>
      <c r="D127" s="34">
        <v>2.2806150219125945</v>
      </c>
      <c r="E127" s="4">
        <v>0</v>
      </c>
      <c r="F127" s="11">
        <f>AVERAGE(B127:D127)</f>
        <v>2.0777060073041982</v>
      </c>
    </row>
    <row r="128" spans="1:8" x14ac:dyDescent="0.25">
      <c r="A128" s="82"/>
      <c r="B128" s="82"/>
      <c r="C128" s="82"/>
      <c r="D128" s="82"/>
      <c r="E128" s="82"/>
      <c r="F128" s="82"/>
      <c r="G128" s="82"/>
    </row>
    <row r="129" spans="1:8" x14ac:dyDescent="0.25">
      <c r="A129" s="69" t="s">
        <v>69</v>
      </c>
      <c r="B129" s="69"/>
      <c r="C129" s="69"/>
      <c r="D129" s="69"/>
      <c r="E129" s="69"/>
      <c r="F129" s="69"/>
    </row>
    <row r="130" spans="1:8" x14ac:dyDescent="0.25">
      <c r="A130" s="14" t="s">
        <v>70</v>
      </c>
      <c r="B130" s="28">
        <v>233809</v>
      </c>
      <c r="C130" s="28">
        <v>3447</v>
      </c>
      <c r="D130" s="28">
        <v>8539</v>
      </c>
      <c r="E130" s="28">
        <v>776</v>
      </c>
      <c r="F130" s="28">
        <f>SUM(B130:E130)</f>
        <v>246571</v>
      </c>
    </row>
    <row r="131" spans="1:8" x14ac:dyDescent="0.25">
      <c r="A131" s="14" t="s">
        <v>71</v>
      </c>
      <c r="B131" s="28">
        <v>158688.21160499999</v>
      </c>
      <c r="C131" s="28">
        <v>3827</v>
      </c>
      <c r="D131" s="28">
        <v>1013</v>
      </c>
      <c r="E131" s="28">
        <v>729.04006600000002</v>
      </c>
      <c r="F131" s="11">
        <f>SUM(B131:E131)</f>
        <v>164257.25167099998</v>
      </c>
    </row>
    <row r="132" spans="1:8" x14ac:dyDescent="0.25">
      <c r="A132" s="70"/>
      <c r="B132" s="70"/>
      <c r="C132" s="70"/>
      <c r="D132" s="70"/>
      <c r="E132" s="70"/>
      <c r="F132" s="70"/>
      <c r="G132" s="70"/>
    </row>
    <row r="133" spans="1:8" x14ac:dyDescent="0.25">
      <c r="A133" s="69" t="s">
        <v>72</v>
      </c>
      <c r="B133" s="69"/>
      <c r="C133" s="69"/>
      <c r="D133" s="69"/>
      <c r="E133" s="69"/>
      <c r="F133" s="69"/>
    </row>
    <row r="134" spans="1:8" x14ac:dyDescent="0.25">
      <c r="A134" s="14" t="s">
        <v>73</v>
      </c>
      <c r="B134" s="28">
        <v>778369</v>
      </c>
      <c r="C134" s="28">
        <v>366911</v>
      </c>
      <c r="D134" s="28">
        <v>127019</v>
      </c>
      <c r="E134" s="28">
        <v>290470</v>
      </c>
      <c r="F134" s="28">
        <f>SUM(B134:E134)</f>
        <v>1562769</v>
      </c>
    </row>
    <row r="135" spans="1:8" x14ac:dyDescent="0.25">
      <c r="A135" s="70"/>
      <c r="B135" s="70"/>
      <c r="C135" s="70"/>
      <c r="D135" s="70"/>
      <c r="E135" s="70"/>
      <c r="F135" s="70"/>
      <c r="G135" s="70"/>
    </row>
    <row r="136" spans="1:8" ht="21" x14ac:dyDescent="0.35">
      <c r="A136" s="78" t="s">
        <v>74</v>
      </c>
      <c r="B136" s="78"/>
      <c r="C136" s="78"/>
      <c r="D136" s="78"/>
      <c r="E136" s="78"/>
      <c r="F136" s="78"/>
    </row>
    <row r="137" spans="1:8" x14ac:dyDescent="0.25">
      <c r="A137" s="69" t="s">
        <v>75</v>
      </c>
      <c r="B137" s="69"/>
      <c r="C137" s="69"/>
      <c r="D137" s="69"/>
      <c r="E137" s="69"/>
      <c r="F137" s="69"/>
    </row>
    <row r="138" spans="1:8" x14ac:dyDescent="0.25">
      <c r="A138" s="14" t="s">
        <v>76</v>
      </c>
      <c r="B138" s="28">
        <v>0</v>
      </c>
      <c r="C138" s="28">
        <v>0</v>
      </c>
      <c r="D138" s="28">
        <v>0</v>
      </c>
      <c r="E138" s="28">
        <v>15639</v>
      </c>
      <c r="F138" s="28">
        <f>SUM(B138:E138)</f>
        <v>15639</v>
      </c>
      <c r="G138" s="7"/>
      <c r="H138" s="7"/>
    </row>
    <row r="139" spans="1:8" x14ac:dyDescent="0.25">
      <c r="A139" s="14" t="s">
        <v>77</v>
      </c>
      <c r="B139" s="28">
        <v>0</v>
      </c>
      <c r="C139" s="28">
        <v>0</v>
      </c>
      <c r="D139" s="28">
        <v>0</v>
      </c>
      <c r="E139" s="28">
        <v>208</v>
      </c>
      <c r="F139" s="28">
        <f>SUM(B139:E139)</f>
        <v>208</v>
      </c>
      <c r="G139" s="7"/>
      <c r="H139" s="7"/>
    </row>
    <row r="140" spans="1:8" x14ac:dyDescent="0.25">
      <c r="A140" s="70"/>
      <c r="B140" s="70"/>
      <c r="C140" s="70"/>
      <c r="D140" s="70"/>
      <c r="E140" s="70"/>
      <c r="F140" s="70"/>
      <c r="G140" s="70"/>
      <c r="H140" s="7"/>
    </row>
    <row r="141" spans="1:8" x14ac:dyDescent="0.25">
      <c r="A141" s="70"/>
      <c r="B141" s="70"/>
      <c r="C141" s="70"/>
      <c r="D141" s="70"/>
      <c r="E141" s="70"/>
      <c r="F141" s="70"/>
      <c r="G141" s="70"/>
    </row>
    <row r="142" spans="1:8" ht="21" x14ac:dyDescent="0.35">
      <c r="A142" s="79" t="s">
        <v>78</v>
      </c>
      <c r="B142" s="80"/>
      <c r="C142" s="80"/>
      <c r="D142" s="80"/>
      <c r="E142" s="80"/>
      <c r="F142" s="81"/>
    </row>
    <row r="143" spans="1:8" x14ac:dyDescent="0.25">
      <c r="A143" s="75" t="s">
        <v>79</v>
      </c>
      <c r="B143" s="76"/>
      <c r="C143" s="76"/>
      <c r="D143" s="76"/>
      <c r="E143" s="76"/>
      <c r="F143" s="77"/>
    </row>
    <row r="144" spans="1:8" x14ac:dyDescent="0.25">
      <c r="A144" s="70"/>
      <c r="B144" s="70"/>
      <c r="C144" s="70"/>
      <c r="D144" s="70"/>
      <c r="E144" s="70"/>
      <c r="F144" s="70"/>
      <c r="G144" s="70"/>
    </row>
    <row r="145" spans="1:7" x14ac:dyDescent="0.25">
      <c r="A145" s="74" t="s">
        <v>80</v>
      </c>
      <c r="B145" s="74"/>
      <c r="C145" s="74"/>
      <c r="D145" s="74"/>
      <c r="E145" s="74"/>
      <c r="F145" s="74"/>
    </row>
    <row r="146" spans="1:7" x14ac:dyDescent="0.25">
      <c r="A146" s="14" t="s">
        <v>81</v>
      </c>
      <c r="B146" s="28">
        <v>0</v>
      </c>
      <c r="C146" s="28">
        <v>863</v>
      </c>
      <c r="D146" s="28">
        <v>0</v>
      </c>
      <c r="E146" s="28">
        <v>1792</v>
      </c>
      <c r="F146" s="28">
        <f>SUM(B146:E146)</f>
        <v>2655</v>
      </c>
    </row>
    <row r="147" spans="1:7" x14ac:dyDescent="0.25">
      <c r="A147" s="14" t="s">
        <v>82</v>
      </c>
      <c r="B147" s="28">
        <v>0</v>
      </c>
      <c r="C147" s="28">
        <v>19.27</v>
      </c>
      <c r="D147" s="28">
        <v>0</v>
      </c>
      <c r="E147" s="28">
        <v>22.109500000000001</v>
      </c>
      <c r="F147" s="11">
        <f>SUM(B147:E147)</f>
        <v>41.3795</v>
      </c>
    </row>
    <row r="148" spans="1:7" x14ac:dyDescent="0.25">
      <c r="A148" s="70"/>
      <c r="B148" s="70"/>
      <c r="C148" s="70"/>
      <c r="D148" s="70"/>
      <c r="E148" s="70"/>
      <c r="F148" s="70"/>
      <c r="G148" s="70"/>
    </row>
    <row r="149" spans="1:7" x14ac:dyDescent="0.25">
      <c r="A149" s="74" t="s">
        <v>83</v>
      </c>
      <c r="B149" s="74"/>
      <c r="C149" s="74"/>
      <c r="D149" s="74"/>
      <c r="E149" s="74"/>
      <c r="F149" s="74"/>
    </row>
    <row r="150" spans="1:7" x14ac:dyDescent="0.25">
      <c r="A150" s="14" t="s">
        <v>84</v>
      </c>
      <c r="B150" s="28">
        <v>0</v>
      </c>
      <c r="C150" s="28">
        <v>0</v>
      </c>
      <c r="D150" s="28">
        <v>0</v>
      </c>
      <c r="E150" s="28">
        <v>0</v>
      </c>
      <c r="F150" s="28">
        <f>SUM(B150:E150)</f>
        <v>0</v>
      </c>
      <c r="G150"/>
    </row>
    <row r="151" spans="1:7" x14ac:dyDescent="0.25">
      <c r="A151" s="14" t="s">
        <v>85</v>
      </c>
      <c r="B151" s="28">
        <v>0</v>
      </c>
      <c r="C151" s="28">
        <v>0</v>
      </c>
      <c r="D151" s="28">
        <v>0</v>
      </c>
      <c r="E151" s="28">
        <v>0</v>
      </c>
      <c r="F151" s="11">
        <f>SUM(B151:E151)</f>
        <v>0</v>
      </c>
      <c r="G151"/>
    </row>
    <row r="152" spans="1:7" x14ac:dyDescent="0.25">
      <c r="A152" s="70"/>
      <c r="B152" s="70"/>
      <c r="C152" s="70"/>
      <c r="D152" s="70"/>
      <c r="E152" s="70"/>
      <c r="F152" s="70"/>
      <c r="G152" s="70"/>
    </row>
    <row r="153" spans="1:7" x14ac:dyDescent="0.25">
      <c r="A153" s="74" t="s">
        <v>86</v>
      </c>
      <c r="B153" s="74"/>
      <c r="C153" s="74"/>
      <c r="D153" s="74"/>
      <c r="E153" s="74"/>
      <c r="F153" s="74"/>
    </row>
    <row r="154" spans="1:7" x14ac:dyDescent="0.25">
      <c r="A154" s="14" t="s">
        <v>87</v>
      </c>
      <c r="B154" s="14">
        <v>0</v>
      </c>
      <c r="C154" s="28">
        <v>293</v>
      </c>
      <c r="D154" s="36">
        <v>0</v>
      </c>
      <c r="E154" s="35">
        <v>0</v>
      </c>
      <c r="F154" s="28">
        <f>SUM(B154:E154)</f>
        <v>293</v>
      </c>
      <c r="G154"/>
    </row>
    <row r="155" spans="1:7" x14ac:dyDescent="0.25">
      <c r="A155" s="14" t="s">
        <v>88</v>
      </c>
      <c r="B155" s="11">
        <v>0</v>
      </c>
      <c r="C155" s="28">
        <v>4.07</v>
      </c>
      <c r="D155" s="36">
        <v>0</v>
      </c>
      <c r="E155" s="35">
        <v>0</v>
      </c>
      <c r="F155" s="11">
        <f>SUM(B155:E155)</f>
        <v>4.07</v>
      </c>
      <c r="G155"/>
    </row>
    <row r="156" spans="1:7" x14ac:dyDescent="0.25">
      <c r="A156" s="70"/>
      <c r="B156" s="70"/>
      <c r="C156" s="70"/>
      <c r="D156" s="70"/>
      <c r="E156" s="70"/>
      <c r="F156" s="70"/>
      <c r="G156" s="70"/>
    </row>
    <row r="157" spans="1:7" x14ac:dyDescent="0.25">
      <c r="A157" s="71" t="s">
        <v>89</v>
      </c>
      <c r="B157" s="72"/>
      <c r="C157" s="72"/>
      <c r="D157" s="72"/>
      <c r="E157" s="72"/>
      <c r="F157" s="73"/>
    </row>
    <row r="158" spans="1:7" x14ac:dyDescent="0.25">
      <c r="A158" s="18" t="s">
        <v>90</v>
      </c>
      <c r="B158" s="19">
        <v>0</v>
      </c>
      <c r="C158" s="46">
        <v>1156</v>
      </c>
      <c r="D158" s="19">
        <v>0</v>
      </c>
      <c r="E158" s="19">
        <f>E146+E154</f>
        <v>1792</v>
      </c>
      <c r="F158" s="19">
        <f>SUM(B158:E158)</f>
        <v>2948</v>
      </c>
    </row>
    <row r="159" spans="1:7" x14ac:dyDescent="0.25">
      <c r="A159" s="18" t="s">
        <v>91</v>
      </c>
      <c r="B159" s="19">
        <v>0</v>
      </c>
      <c r="C159" s="46">
        <v>23.34</v>
      </c>
      <c r="D159" s="19">
        <v>0</v>
      </c>
      <c r="E159" s="19">
        <f>E147+E155</f>
        <v>22.109500000000001</v>
      </c>
      <c r="F159" s="22">
        <f>SUM(B159:E159)</f>
        <v>45.4495</v>
      </c>
    </row>
    <row r="160" spans="1:7" x14ac:dyDescent="0.25">
      <c r="A160" s="70"/>
      <c r="B160" s="70"/>
      <c r="C160" s="70"/>
      <c r="D160" s="70"/>
      <c r="E160" s="70"/>
      <c r="F160" s="70"/>
      <c r="G160" s="70"/>
    </row>
    <row r="161" spans="1:7" x14ac:dyDescent="0.25">
      <c r="A161" s="69" t="s">
        <v>92</v>
      </c>
      <c r="B161" s="69"/>
      <c r="C161" s="69"/>
      <c r="D161" s="69"/>
      <c r="E161" s="69"/>
      <c r="F161" s="69"/>
    </row>
    <row r="162" spans="1:7" x14ac:dyDescent="0.25">
      <c r="A162" s="14" t="s">
        <v>87</v>
      </c>
      <c r="B162" s="28">
        <v>2800</v>
      </c>
      <c r="C162" s="28">
        <v>53137</v>
      </c>
      <c r="D162" s="28">
        <v>3370</v>
      </c>
      <c r="E162" s="28">
        <v>41715</v>
      </c>
      <c r="F162" s="28">
        <f>SUM(B162:E162)</f>
        <v>101022</v>
      </c>
    </row>
    <row r="163" spans="1:7" x14ac:dyDescent="0.25">
      <c r="A163" s="14" t="s">
        <v>88</v>
      </c>
      <c r="B163" s="28">
        <f>63461181/1000000</f>
        <v>63.461181000000003</v>
      </c>
      <c r="C163" s="28">
        <v>135.058573</v>
      </c>
      <c r="D163" s="28">
        <v>60</v>
      </c>
      <c r="E163" s="28">
        <v>287.68084099999999</v>
      </c>
      <c r="F163" s="11">
        <f>SUM(B163:E163)</f>
        <v>546.20059500000002</v>
      </c>
    </row>
    <row r="164" spans="1:7" x14ac:dyDescent="0.25">
      <c r="A164" s="70"/>
      <c r="B164" s="70"/>
      <c r="C164" s="70"/>
      <c r="D164" s="70"/>
      <c r="E164" s="70"/>
      <c r="F164" s="70"/>
    </row>
    <row r="165" spans="1:7" x14ac:dyDescent="0.25">
      <c r="A165" s="75" t="s">
        <v>93</v>
      </c>
      <c r="B165" s="76"/>
      <c r="C165" s="76"/>
      <c r="D165" s="76"/>
      <c r="E165" s="76"/>
      <c r="F165" s="77"/>
    </row>
    <row r="166" spans="1:7" x14ac:dyDescent="0.25">
      <c r="A166" s="71" t="s">
        <v>94</v>
      </c>
      <c r="B166" s="72"/>
      <c r="C166" s="72"/>
      <c r="D166" s="72"/>
      <c r="E166" s="72"/>
      <c r="F166" s="73"/>
    </row>
    <row r="167" spans="1:7" x14ac:dyDescent="0.25">
      <c r="A167" s="14" t="s">
        <v>95</v>
      </c>
      <c r="B167" s="28">
        <v>680</v>
      </c>
      <c r="C167" s="28">
        <v>5512</v>
      </c>
      <c r="D167" s="28">
        <v>71</v>
      </c>
      <c r="E167" s="28">
        <v>1151</v>
      </c>
      <c r="F167" s="28">
        <f>SUM(B167:E167)</f>
        <v>7414</v>
      </c>
    </row>
    <row r="168" spans="1:7" x14ac:dyDescent="0.25">
      <c r="A168" s="14" t="s">
        <v>96</v>
      </c>
      <c r="B168" s="28">
        <f>22950000/1000000</f>
        <v>22.95</v>
      </c>
      <c r="C168" s="28">
        <v>125.42055499999999</v>
      </c>
      <c r="D168" s="28">
        <v>2.81</v>
      </c>
      <c r="E168" s="28">
        <v>40.164999999999999</v>
      </c>
      <c r="F168" s="11">
        <f>SUM(B168:E168)</f>
        <v>191.34555499999999</v>
      </c>
    </row>
    <row r="169" spans="1:7" x14ac:dyDescent="0.25">
      <c r="A169" s="70"/>
      <c r="B169" s="70"/>
      <c r="C169" s="70"/>
      <c r="D169" s="70"/>
      <c r="E169" s="70"/>
      <c r="F169" s="70"/>
    </row>
    <row r="170" spans="1:7" x14ac:dyDescent="0.25">
      <c r="A170" s="71" t="s">
        <v>97</v>
      </c>
      <c r="B170" s="72"/>
      <c r="C170" s="72"/>
      <c r="D170" s="72"/>
      <c r="E170" s="72"/>
      <c r="F170" s="73"/>
    </row>
    <row r="171" spans="1:7" x14ac:dyDescent="0.25">
      <c r="A171" s="14" t="s">
        <v>98</v>
      </c>
      <c r="B171" s="28">
        <v>1552</v>
      </c>
      <c r="C171" s="28">
        <v>340</v>
      </c>
      <c r="D171" s="28">
        <v>97</v>
      </c>
      <c r="E171" s="28">
        <v>698</v>
      </c>
      <c r="F171" s="28">
        <f>SUM(B171:E171)</f>
        <v>2687</v>
      </c>
    </row>
    <row r="172" spans="1:7" x14ac:dyDescent="0.25">
      <c r="A172" s="14" t="s">
        <v>96</v>
      </c>
      <c r="B172" s="28">
        <f>52071000/1000000</f>
        <v>52.070999999999998</v>
      </c>
      <c r="C172" s="28">
        <v>7.1609999999999996</v>
      </c>
      <c r="D172" s="28">
        <v>2.4249999999999998</v>
      </c>
      <c r="E172" s="28">
        <v>15.364000000000001</v>
      </c>
      <c r="F172" s="11">
        <f>SUM(B172:E172)</f>
        <v>77.021000000000001</v>
      </c>
    </row>
    <row r="173" spans="1:7" x14ac:dyDescent="0.25">
      <c r="A173" s="70"/>
      <c r="B173" s="70"/>
      <c r="C173" s="70"/>
      <c r="D173" s="70"/>
      <c r="E173" s="70"/>
      <c r="F173" s="70"/>
      <c r="G173" s="70"/>
    </row>
    <row r="174" spans="1:7" x14ac:dyDescent="0.25">
      <c r="A174" s="71" t="s">
        <v>99</v>
      </c>
      <c r="B174" s="72"/>
      <c r="C174" s="72"/>
      <c r="D174" s="72"/>
      <c r="E174" s="72"/>
      <c r="F174" s="73"/>
    </row>
    <row r="175" spans="1:7" x14ac:dyDescent="0.25">
      <c r="A175" s="14" t="s">
        <v>98</v>
      </c>
      <c r="B175" s="28">
        <v>189</v>
      </c>
      <c r="C175" s="28">
        <v>291</v>
      </c>
      <c r="D175" s="28">
        <v>109</v>
      </c>
      <c r="E175" s="28">
        <v>67</v>
      </c>
      <c r="F175" s="28">
        <f>SUM(B175:E175)</f>
        <v>656</v>
      </c>
    </row>
    <row r="176" spans="1:7" x14ac:dyDescent="0.25">
      <c r="A176" s="14" t="s">
        <v>96</v>
      </c>
      <c r="B176" s="28">
        <f>18930000/1000000</f>
        <v>18.93</v>
      </c>
      <c r="C176" s="28">
        <v>30.67</v>
      </c>
      <c r="D176" s="28">
        <v>6.1550000000000002</v>
      </c>
      <c r="E176" s="28">
        <v>6.77</v>
      </c>
      <c r="F176" s="11">
        <f>SUM(B176:E176)</f>
        <v>62.525000000000006</v>
      </c>
    </row>
    <row r="177" spans="1:7" x14ac:dyDescent="0.25">
      <c r="A177" s="70"/>
      <c r="B177" s="70"/>
      <c r="C177" s="70"/>
      <c r="D177" s="70"/>
      <c r="E177" s="70"/>
      <c r="F177" s="70"/>
      <c r="G177" s="70"/>
    </row>
    <row r="178" spans="1:7" x14ac:dyDescent="0.25">
      <c r="A178" s="71" t="s">
        <v>100</v>
      </c>
      <c r="B178" s="72"/>
      <c r="C178" s="72"/>
      <c r="D178" s="72"/>
      <c r="E178" s="72"/>
      <c r="F178" s="73"/>
    </row>
    <row r="179" spans="1:7" x14ac:dyDescent="0.25">
      <c r="A179" s="14" t="s">
        <v>98</v>
      </c>
      <c r="B179" s="28">
        <v>312</v>
      </c>
      <c r="C179" s="28">
        <v>193291</v>
      </c>
      <c r="D179" s="28">
        <v>0</v>
      </c>
      <c r="E179" s="28">
        <v>0</v>
      </c>
      <c r="F179" s="28">
        <f>SUM(B179:E179)</f>
        <v>193603</v>
      </c>
    </row>
    <row r="180" spans="1:7" x14ac:dyDescent="0.25">
      <c r="A180" s="14" t="s">
        <v>96</v>
      </c>
      <c r="B180" s="28">
        <f>9650000/1000000</f>
        <v>9.65</v>
      </c>
      <c r="C180" s="28">
        <v>4124.8080110971205</v>
      </c>
      <c r="D180" s="28">
        <v>0</v>
      </c>
      <c r="E180" s="28">
        <v>0</v>
      </c>
      <c r="F180" s="11">
        <f>SUM(B180:E180)</f>
        <v>4134.4580110971201</v>
      </c>
    </row>
    <row r="181" spans="1:7" x14ac:dyDescent="0.25">
      <c r="A181" s="70"/>
      <c r="B181" s="70"/>
      <c r="C181" s="70"/>
      <c r="D181" s="70"/>
      <c r="E181" s="70"/>
      <c r="F181" s="70"/>
      <c r="G181" s="70"/>
    </row>
    <row r="182" spans="1:7" x14ac:dyDescent="0.25">
      <c r="A182" s="69" t="s">
        <v>101</v>
      </c>
      <c r="B182" s="69"/>
      <c r="C182" s="69"/>
      <c r="D182" s="69"/>
      <c r="E182" s="69"/>
      <c r="F182" s="69"/>
    </row>
    <row r="183" spans="1:7" x14ac:dyDescent="0.25">
      <c r="A183" s="18" t="s">
        <v>102</v>
      </c>
      <c r="B183" s="19">
        <f>+B179+B175+B171+B167</f>
        <v>2733</v>
      </c>
      <c r="C183" s="19">
        <v>199434</v>
      </c>
      <c r="D183" s="19">
        <v>277</v>
      </c>
      <c r="E183" s="19">
        <f>+E179+E175+E171+E167</f>
        <v>1916</v>
      </c>
      <c r="F183" s="19">
        <f>SUM(B183:E183)</f>
        <v>204360</v>
      </c>
    </row>
    <row r="184" spans="1:7" x14ac:dyDescent="0.25">
      <c r="A184" s="18" t="s">
        <v>103</v>
      </c>
      <c r="B184" s="19">
        <f>+B180+B176+B172+B168</f>
        <v>103.601</v>
      </c>
      <c r="C184" s="19">
        <v>4288.0595660971203</v>
      </c>
      <c r="D184" s="19">
        <v>11.39</v>
      </c>
      <c r="E184" s="19">
        <f>+E180+E176+E172+E168</f>
        <v>62.298999999999999</v>
      </c>
      <c r="F184" s="22">
        <f>SUM(B184:E184)</f>
        <v>4465.3495660971203</v>
      </c>
    </row>
    <row r="185" spans="1:7" x14ac:dyDescent="0.25">
      <c r="A185" s="70"/>
      <c r="B185" s="70"/>
      <c r="C185" s="70"/>
      <c r="D185" s="70"/>
      <c r="E185" s="70"/>
      <c r="F185" s="70"/>
      <c r="G185" s="70"/>
    </row>
    <row r="186" spans="1:7" x14ac:dyDescent="0.25">
      <c r="A186" s="69" t="s">
        <v>104</v>
      </c>
      <c r="B186" s="69"/>
      <c r="C186" s="69"/>
      <c r="D186" s="69"/>
      <c r="E186" s="69"/>
      <c r="F186" s="69"/>
    </row>
    <row r="187" spans="1:7" x14ac:dyDescent="0.25">
      <c r="A187" s="14" t="s">
        <v>105</v>
      </c>
      <c r="B187" s="28">
        <v>3959</v>
      </c>
      <c r="C187" s="28">
        <v>11577</v>
      </c>
      <c r="D187" s="28">
        <v>71</v>
      </c>
      <c r="E187" s="28">
        <v>45423</v>
      </c>
      <c r="F187" s="28">
        <f>SUM(B187:E187)</f>
        <v>61030</v>
      </c>
    </row>
    <row r="188" spans="1:7" x14ac:dyDescent="0.25">
      <c r="A188" s="14" t="s">
        <v>106</v>
      </c>
      <c r="B188" s="28">
        <f>33436344/1000000</f>
        <v>33.436343999999998</v>
      </c>
      <c r="C188" s="28">
        <v>475.45379599999995</v>
      </c>
      <c r="D188" s="28">
        <v>2.81</v>
      </c>
      <c r="E188" s="28">
        <v>372</v>
      </c>
      <c r="F188" s="11">
        <f>SUM(B188:E188)</f>
        <v>883.70013999999992</v>
      </c>
    </row>
    <row r="189" spans="1:7" x14ac:dyDescent="0.25">
      <c r="A189" s="70"/>
      <c r="B189" s="70"/>
      <c r="C189" s="70"/>
      <c r="D189" s="70"/>
      <c r="E189" s="70"/>
      <c r="F189" s="70"/>
      <c r="G189" s="70"/>
    </row>
    <row r="190" spans="1:7" x14ac:dyDescent="0.25">
      <c r="A190" s="69" t="s">
        <v>107</v>
      </c>
      <c r="B190" s="69"/>
      <c r="C190" s="69"/>
      <c r="D190" s="69"/>
      <c r="E190" s="69"/>
      <c r="F190" s="69"/>
    </row>
    <row r="191" spans="1:7" x14ac:dyDescent="0.25">
      <c r="A191" s="18" t="s">
        <v>108</v>
      </c>
      <c r="B191" s="19">
        <f>B187+B162+B183</f>
        <v>9492</v>
      </c>
      <c r="C191" s="46">
        <v>265304</v>
      </c>
      <c r="D191" s="19">
        <v>3718</v>
      </c>
      <c r="E191" s="19">
        <f>E158+E162+E183+E187</f>
        <v>90846</v>
      </c>
      <c r="F191" s="19">
        <f>SUM(B191:E191)</f>
        <v>369360</v>
      </c>
    </row>
    <row r="192" spans="1:7" x14ac:dyDescent="0.25">
      <c r="A192" s="18" t="s">
        <v>109</v>
      </c>
      <c r="B192" s="19">
        <f>B188+B163+B184</f>
        <v>200.498525</v>
      </c>
      <c r="C192" s="46">
        <v>4921.9119350971205</v>
      </c>
      <c r="D192" s="19">
        <v>74.2</v>
      </c>
      <c r="E192" s="19">
        <f>E159+E184+E163+E188</f>
        <v>744.08934099999999</v>
      </c>
      <c r="F192" s="22">
        <f>SUM(B192:E192)</f>
        <v>5940.6998010971201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C247-852C-4CF0-BDAF-005D29E995F9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5703125" bestFit="1" customWidth="1"/>
    <col min="4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0" t="s">
        <v>1</v>
      </c>
      <c r="D2" s="91"/>
      <c r="E2" s="91"/>
      <c r="F2" s="91"/>
      <c r="G2" s="9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9" t="s">
        <v>7</v>
      </c>
      <c r="C4" s="80"/>
      <c r="D4" s="80"/>
      <c r="E4" s="80"/>
      <c r="F4" s="80"/>
      <c r="G4" s="81"/>
    </row>
    <row r="5" spans="1:7" x14ac:dyDescent="0.25">
      <c r="B5" s="75" t="s">
        <v>8</v>
      </c>
      <c r="C5" s="76"/>
      <c r="D5" s="76"/>
      <c r="E5" s="76"/>
      <c r="F5" s="76"/>
      <c r="G5" s="77"/>
    </row>
    <row r="6" spans="1:7" x14ac:dyDescent="0.25">
      <c r="B6" s="4" t="s">
        <v>9</v>
      </c>
      <c r="C6" s="12">
        <v>55304</v>
      </c>
      <c r="D6" s="12">
        <v>8217</v>
      </c>
      <c r="E6" s="12">
        <v>8783</v>
      </c>
      <c r="F6" s="12">
        <v>10290</v>
      </c>
      <c r="G6" s="12">
        <f>+F6+E6+D6+C6</f>
        <v>82594</v>
      </c>
    </row>
    <row r="7" spans="1:7" x14ac:dyDescent="0.25">
      <c r="B7" s="14" t="s">
        <v>10</v>
      </c>
      <c r="C7" s="12">
        <v>526</v>
      </c>
      <c r="D7" s="12">
        <v>220</v>
      </c>
      <c r="E7" s="12">
        <v>12</v>
      </c>
      <c r="F7" s="12">
        <v>145</v>
      </c>
      <c r="G7" s="12">
        <f>+F7+E7+D7+C7</f>
        <v>903</v>
      </c>
    </row>
    <row r="8" spans="1:7" x14ac:dyDescent="0.25">
      <c r="B8" s="18" t="s">
        <v>11</v>
      </c>
      <c r="C8" s="25">
        <v>55830</v>
      </c>
      <c r="D8" s="25">
        <f>+D6+D7</f>
        <v>8437</v>
      </c>
      <c r="E8" s="25">
        <f>SUM(E6:E7)</f>
        <v>8795</v>
      </c>
      <c r="F8" s="25">
        <v>10435</v>
      </c>
      <c r="G8" s="25">
        <f>+F8+E8+D8+C8</f>
        <v>83497</v>
      </c>
    </row>
    <row r="9" spans="1:7" x14ac:dyDescent="0.25">
      <c r="B9" s="70"/>
      <c r="C9" s="70"/>
      <c r="D9" s="70"/>
      <c r="E9" s="70"/>
      <c r="F9" s="70"/>
      <c r="G9" s="70"/>
    </row>
    <row r="10" spans="1:7" x14ac:dyDescent="0.25">
      <c r="B10" s="75" t="s">
        <v>12</v>
      </c>
      <c r="C10" s="76"/>
      <c r="D10" s="76"/>
      <c r="E10" s="76"/>
      <c r="F10" s="76"/>
      <c r="G10" s="77"/>
    </row>
    <row r="11" spans="1:7" x14ac:dyDescent="0.25">
      <c r="B11" s="71" t="s">
        <v>13</v>
      </c>
      <c r="C11" s="72"/>
      <c r="D11" s="72"/>
      <c r="E11" s="72"/>
      <c r="F11" s="72"/>
      <c r="G11" s="73"/>
    </row>
    <row r="12" spans="1:7" x14ac:dyDescent="0.25">
      <c r="B12" s="16" t="s">
        <v>14</v>
      </c>
      <c r="C12" s="12">
        <v>880540</v>
      </c>
      <c r="D12" s="12">
        <v>126499</v>
      </c>
      <c r="E12" s="12">
        <v>50408</v>
      </c>
      <c r="F12" s="12">
        <v>0</v>
      </c>
      <c r="G12" s="17">
        <f>SUM(C12:F12)</f>
        <v>1057447</v>
      </c>
    </row>
    <row r="13" spans="1:7" x14ac:dyDescent="0.25">
      <c r="B13" s="16" t="s">
        <v>15</v>
      </c>
      <c r="C13" s="12">
        <v>2437962</v>
      </c>
      <c r="D13" s="12">
        <v>553435</v>
      </c>
      <c r="E13" s="12">
        <v>237755</v>
      </c>
      <c r="F13" s="12">
        <v>0</v>
      </c>
      <c r="G13" s="17">
        <f>SUM(C13:F13)</f>
        <v>3229152</v>
      </c>
    </row>
    <row r="14" spans="1:7" x14ac:dyDescent="0.25">
      <c r="B14" s="18" t="s">
        <v>16</v>
      </c>
      <c r="C14" s="25">
        <v>3318502</v>
      </c>
      <c r="D14" s="25">
        <v>1012842</v>
      </c>
      <c r="E14" s="25">
        <v>288163</v>
      </c>
      <c r="F14" s="25">
        <v>363065</v>
      </c>
      <c r="G14" s="19">
        <f>SUM(C14:F14)</f>
        <v>4982572</v>
      </c>
    </row>
    <row r="15" spans="1:7" x14ac:dyDescent="0.25">
      <c r="B15" s="18" t="s">
        <v>17</v>
      </c>
      <c r="C15" s="25">
        <v>453418</v>
      </c>
      <c r="D15" s="25">
        <v>154357</v>
      </c>
      <c r="E15" s="25">
        <v>3133</v>
      </c>
      <c r="F15" s="25">
        <v>135771</v>
      </c>
      <c r="G15" s="19">
        <f>SUM(C15:F15)</f>
        <v>746679</v>
      </c>
    </row>
    <row r="16" spans="1:7" x14ac:dyDescent="0.25">
      <c r="B16" s="18" t="s">
        <v>18</v>
      </c>
      <c r="C16" s="25">
        <v>3771920</v>
      </c>
      <c r="D16" s="25">
        <f>+D14+D15</f>
        <v>1167199</v>
      </c>
      <c r="E16" s="25">
        <v>291296</v>
      </c>
      <c r="F16" s="25">
        <v>498836</v>
      </c>
      <c r="G16" s="19">
        <f>SUM(C16:F16)</f>
        <v>5729251</v>
      </c>
    </row>
    <row r="17" spans="2:8" x14ac:dyDescent="0.25">
      <c r="B17" s="70"/>
      <c r="C17" s="70"/>
      <c r="D17" s="70"/>
      <c r="E17" s="70"/>
      <c r="F17" s="70"/>
      <c r="G17" s="70"/>
    </row>
    <row r="18" spans="2:8" x14ac:dyDescent="0.25">
      <c r="B18" s="71" t="s">
        <v>19</v>
      </c>
      <c r="C18" s="72"/>
      <c r="D18" s="72"/>
      <c r="E18" s="72"/>
      <c r="F18" s="72"/>
      <c r="G18" s="73"/>
    </row>
    <row r="19" spans="2:8" x14ac:dyDescent="0.25">
      <c r="B19" s="14" t="s">
        <v>20</v>
      </c>
      <c r="C19" s="12">
        <v>3540</v>
      </c>
      <c r="D19" s="12">
        <v>4</v>
      </c>
      <c r="E19" s="12">
        <v>0</v>
      </c>
      <c r="F19" s="12">
        <v>0</v>
      </c>
      <c r="G19" s="28">
        <f>SUM(C19:F19)</f>
        <v>3544</v>
      </c>
    </row>
    <row r="20" spans="2:8" x14ac:dyDescent="0.25">
      <c r="B20" s="93"/>
      <c r="C20" s="93"/>
      <c r="D20" s="93"/>
      <c r="E20" s="93"/>
      <c r="F20" s="93"/>
      <c r="G20" s="93"/>
    </row>
    <row r="21" spans="2:8" x14ac:dyDescent="0.25">
      <c r="B21" s="18" t="s">
        <v>21</v>
      </c>
      <c r="C21" s="45">
        <f>+C19+C16</f>
        <v>3775460</v>
      </c>
      <c r="D21" s="45">
        <v>1167203</v>
      </c>
      <c r="E21" s="45">
        <v>291296</v>
      </c>
      <c r="F21" s="45">
        <f>F16</f>
        <v>498836</v>
      </c>
      <c r="G21" s="19">
        <f>SUM(C21:F21)</f>
        <v>5732795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45">
        <v>399153</v>
      </c>
      <c r="D24" s="45">
        <v>196835</v>
      </c>
      <c r="E24" s="45">
        <v>134098</v>
      </c>
      <c r="F24" s="45">
        <v>676084</v>
      </c>
      <c r="G24" s="19">
        <f>SUM(C24:F24)</f>
        <v>1406170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45">
        <f>+C24+C21</f>
        <v>4174613</v>
      </c>
      <c r="D27" s="45">
        <v>1364038</v>
      </c>
      <c r="E27" s="45">
        <f>+E21+E24</f>
        <v>425394</v>
      </c>
      <c r="F27" s="45">
        <f>+F24+F21</f>
        <v>1174920</v>
      </c>
      <c r="G27" s="19">
        <f>SUM(C27:F27)</f>
        <v>7138965</v>
      </c>
    </row>
    <row r="28" spans="2:8" x14ac:dyDescent="0.25">
      <c r="B28" s="70"/>
      <c r="C28" s="70"/>
      <c r="D28" s="70"/>
      <c r="E28" s="70"/>
      <c r="F28" s="70"/>
      <c r="G28" s="70"/>
      <c r="H28" s="70"/>
    </row>
    <row r="29" spans="2:8" x14ac:dyDescent="0.25">
      <c r="B29" s="75" t="s">
        <v>26</v>
      </c>
      <c r="C29" s="76"/>
      <c r="D29" s="76"/>
      <c r="E29" s="76"/>
      <c r="F29" s="76"/>
      <c r="G29" s="77"/>
    </row>
    <row r="30" spans="2:8" x14ac:dyDescent="0.25">
      <c r="B30" s="14" t="s">
        <v>27</v>
      </c>
      <c r="C30" s="28">
        <v>1227281</v>
      </c>
      <c r="D30" s="28">
        <v>124845</v>
      </c>
      <c r="E30" s="28">
        <v>78595</v>
      </c>
      <c r="F30" s="28">
        <v>194162</v>
      </c>
      <c r="G30" s="28">
        <f>SUM(C30:F30)</f>
        <v>1624883</v>
      </c>
    </row>
    <row r="31" spans="2:8" x14ac:dyDescent="0.25">
      <c r="B31" s="70"/>
      <c r="C31" s="70"/>
      <c r="D31" s="70"/>
      <c r="E31" s="70"/>
      <c r="F31" s="70"/>
      <c r="G31" s="70"/>
      <c r="H31" s="70"/>
    </row>
    <row r="32" spans="2:8" x14ac:dyDescent="0.25">
      <c r="B32" s="75" t="s">
        <v>28</v>
      </c>
      <c r="C32" s="76"/>
      <c r="D32" s="76"/>
      <c r="E32" s="76"/>
      <c r="F32" s="76"/>
      <c r="G32" s="77"/>
    </row>
    <row r="33" spans="2:9" x14ac:dyDescent="0.25">
      <c r="B33" s="14" t="s">
        <v>29</v>
      </c>
      <c r="C33" s="28">
        <v>3661233473453</v>
      </c>
      <c r="D33" s="28">
        <v>659234061786</v>
      </c>
      <c r="E33" s="28">
        <v>256396912479</v>
      </c>
      <c r="F33" s="28">
        <v>446664937419</v>
      </c>
      <c r="G33" s="28">
        <f>SUM(C33:F33)</f>
        <v>5023529385137</v>
      </c>
    </row>
    <row r="34" spans="2:9" x14ac:dyDescent="0.25">
      <c r="B34" s="14" t="s">
        <v>30</v>
      </c>
      <c r="C34" s="28">
        <v>160451507845</v>
      </c>
      <c r="D34" s="28">
        <v>68175987922</v>
      </c>
      <c r="E34" s="28">
        <v>38973034639</v>
      </c>
      <c r="F34" s="28">
        <v>198602856355</v>
      </c>
      <c r="G34" s="28">
        <f>SUM(C34:F34)</f>
        <v>466203386761</v>
      </c>
    </row>
    <row r="35" spans="2:9" x14ac:dyDescent="0.25">
      <c r="B35" s="41" t="s">
        <v>31</v>
      </c>
      <c r="C35" s="42">
        <f>SUM(C33:C34)</f>
        <v>3821684981298</v>
      </c>
      <c r="D35" s="42">
        <f>+D34+D33</f>
        <v>727410049708</v>
      </c>
      <c r="E35" s="42">
        <v>295369947118</v>
      </c>
      <c r="F35" s="42">
        <v>645267793774</v>
      </c>
      <c r="G35" s="42">
        <f>SUM(C35:F35)</f>
        <v>5489732771898</v>
      </c>
    </row>
    <row r="36" spans="2:9" x14ac:dyDescent="0.25">
      <c r="B36" s="86" t="s">
        <v>32</v>
      </c>
      <c r="C36" s="87"/>
      <c r="D36" s="87"/>
      <c r="E36" s="87"/>
      <c r="F36" s="87"/>
      <c r="G36" s="88"/>
      <c r="H36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79" t="s">
        <v>33</v>
      </c>
      <c r="C38" s="80"/>
      <c r="D38" s="80"/>
      <c r="E38" s="80"/>
      <c r="F38" s="80"/>
      <c r="G38" s="81"/>
    </row>
    <row r="39" spans="2:9" x14ac:dyDescent="0.25">
      <c r="B39" s="75" t="s">
        <v>34</v>
      </c>
      <c r="C39" s="76"/>
      <c r="D39" s="76"/>
      <c r="E39" s="76"/>
      <c r="F39" s="76"/>
      <c r="G39" s="77"/>
    </row>
    <row r="40" spans="2:9" x14ac:dyDescent="0.25">
      <c r="B40" s="14" t="s">
        <v>35</v>
      </c>
      <c r="C40" s="28">
        <v>779569</v>
      </c>
      <c r="D40" s="28">
        <v>108283</v>
      </c>
      <c r="E40" s="28">
        <v>50601</v>
      </c>
      <c r="F40" s="28">
        <v>61168</v>
      </c>
      <c r="G40" s="28">
        <f>SUM(C40:F40)</f>
        <v>999621</v>
      </c>
      <c r="H40" s="7"/>
      <c r="I40" s="7"/>
    </row>
    <row r="41" spans="2:9" x14ac:dyDescent="0.25">
      <c r="B41" s="14" t="s">
        <v>36</v>
      </c>
      <c r="C41" s="28">
        <f>661971019/1000000</f>
        <v>661.97101899999996</v>
      </c>
      <c r="D41" s="28">
        <v>908.15104599999995</v>
      </c>
      <c r="E41" s="28">
        <v>395</v>
      </c>
      <c r="F41" s="28">
        <v>470.79078099999998</v>
      </c>
      <c r="G41" s="11">
        <f>SUM(C41:F41)</f>
        <v>2435.9128460000002</v>
      </c>
      <c r="H41" s="7"/>
      <c r="I41" s="7"/>
    </row>
    <row r="42" spans="2:9" x14ac:dyDescent="0.25">
      <c r="B42" s="70"/>
      <c r="C42" s="70"/>
      <c r="D42" s="70"/>
      <c r="E42" s="70"/>
      <c r="F42" s="70"/>
      <c r="G42" s="70"/>
      <c r="H42" s="70"/>
      <c r="I42" s="7"/>
    </row>
    <row r="43" spans="2:9" x14ac:dyDescent="0.25">
      <c r="B43" s="69" t="s">
        <v>37</v>
      </c>
      <c r="C43" s="69"/>
      <c r="D43" s="69"/>
      <c r="E43" s="69"/>
      <c r="F43" s="69"/>
      <c r="G43" s="69"/>
      <c r="I43" s="7"/>
    </row>
    <row r="44" spans="2:9" x14ac:dyDescent="0.25">
      <c r="B44" s="14" t="s">
        <v>38</v>
      </c>
      <c r="C44">
        <v>5</v>
      </c>
      <c r="D44" s="28">
        <v>7</v>
      </c>
      <c r="E44" s="53">
        <v>2</v>
      </c>
      <c r="F44" s="28">
        <v>0</v>
      </c>
      <c r="G44" s="28">
        <f>SUM(C44:F44)</f>
        <v>14</v>
      </c>
      <c r="H44" s="7"/>
      <c r="I44" s="7"/>
    </row>
    <row r="45" spans="2:9" x14ac:dyDescent="0.25">
      <c r="B45" s="14" t="s">
        <v>39</v>
      </c>
      <c r="C45" s="28">
        <f>4743638/1000000</f>
        <v>4.7436379999999998</v>
      </c>
      <c r="D45" s="13">
        <v>8.3803000000000002E-2</v>
      </c>
      <c r="E45" s="54">
        <v>8.0000000000000002E-3</v>
      </c>
      <c r="F45" s="28">
        <v>0</v>
      </c>
      <c r="G45" s="11">
        <f>SUM(C45:F45)</f>
        <v>4.8354409999999994</v>
      </c>
      <c r="H45" s="7"/>
      <c r="I45" s="7"/>
    </row>
    <row r="46" spans="2:9" x14ac:dyDescent="0.25">
      <c r="B46" s="70"/>
      <c r="C46" s="70"/>
      <c r="D46" s="70"/>
      <c r="E46" s="70"/>
      <c r="F46" s="70"/>
      <c r="G46" s="70"/>
      <c r="H46" s="70"/>
      <c r="I46" s="7"/>
    </row>
    <row r="47" spans="2:9" x14ac:dyDescent="0.25">
      <c r="B47" s="69" t="s">
        <v>40</v>
      </c>
      <c r="C47" s="69"/>
      <c r="D47" s="69"/>
      <c r="E47" s="69"/>
      <c r="F47" s="69"/>
      <c r="G47" s="69"/>
      <c r="I47" s="7"/>
    </row>
    <row r="48" spans="2:9" x14ac:dyDescent="0.25">
      <c r="B48" s="14" t="s">
        <v>41</v>
      </c>
      <c r="C48" s="28">
        <v>144254</v>
      </c>
      <c r="D48" s="28">
        <v>68937</v>
      </c>
      <c r="E48" s="28">
        <v>11525</v>
      </c>
      <c r="F48" s="28">
        <v>45505</v>
      </c>
      <c r="G48" s="28">
        <f>SUM(C48:F48)</f>
        <v>270221</v>
      </c>
      <c r="H48" s="7"/>
      <c r="I48" s="7"/>
    </row>
    <row r="49" spans="2:9" x14ac:dyDescent="0.25">
      <c r="B49" s="14" t="s">
        <v>42</v>
      </c>
      <c r="C49" s="28">
        <f>(57980072990+ 1048085721)/1000000</f>
        <v>59028.158710999996</v>
      </c>
      <c r="D49" s="28">
        <v>18731.023101999999</v>
      </c>
      <c r="E49" s="28">
        <f>9648772414/1000000</f>
        <v>9648.7724139999991</v>
      </c>
      <c r="F49" s="28">
        <v>8170.2715289999996</v>
      </c>
      <c r="G49" s="11">
        <f>SUM(C49:F49)</f>
        <v>95578.225756000014</v>
      </c>
      <c r="H49" s="7"/>
      <c r="I49" s="7"/>
    </row>
    <row r="50" spans="2:9" x14ac:dyDescent="0.25">
      <c r="B50" s="70"/>
      <c r="C50" s="70"/>
      <c r="D50" s="70"/>
      <c r="E50" s="70"/>
      <c r="F50" s="70"/>
      <c r="G50" s="70"/>
      <c r="H50" s="70"/>
    </row>
    <row r="51" spans="2:9" ht="21" x14ac:dyDescent="0.35">
      <c r="B51" s="79" t="s">
        <v>43</v>
      </c>
      <c r="C51" s="80"/>
      <c r="D51" s="80"/>
      <c r="E51" s="80"/>
      <c r="F51" s="80"/>
      <c r="G51" s="81"/>
    </row>
    <row r="52" spans="2:9" x14ac:dyDescent="0.25">
      <c r="B52" s="89"/>
      <c r="C52" s="89"/>
      <c r="D52" s="89"/>
      <c r="E52" s="89"/>
      <c r="F52" s="89"/>
      <c r="G52" s="89"/>
      <c r="H52" s="89"/>
    </row>
    <row r="53" spans="2:9" x14ac:dyDescent="0.25">
      <c r="B53" s="69" t="s">
        <v>44</v>
      </c>
      <c r="C53" s="69"/>
      <c r="D53" s="69"/>
      <c r="E53" s="69"/>
      <c r="F53" s="69"/>
      <c r="G53" s="69"/>
    </row>
    <row r="54" spans="2:9" x14ac:dyDescent="0.25">
      <c r="B54" s="74" t="s">
        <v>45</v>
      </c>
      <c r="C54" s="74"/>
      <c r="D54" s="74"/>
      <c r="E54" s="74"/>
      <c r="F54" s="74"/>
      <c r="G54" s="74"/>
    </row>
    <row r="55" spans="2:9" x14ac:dyDescent="0.25">
      <c r="B55" s="14" t="s">
        <v>46</v>
      </c>
      <c r="C55" s="28">
        <v>71250</v>
      </c>
      <c r="D55" s="28">
        <v>4198</v>
      </c>
      <c r="E55" s="28">
        <v>1224</v>
      </c>
      <c r="F55" s="28">
        <v>4392</v>
      </c>
      <c r="G55" s="28">
        <f t="shared" ref="G55:G71" si="0">SUM(C55:F55)</f>
        <v>81064</v>
      </c>
    </row>
    <row r="56" spans="2:9" x14ac:dyDescent="0.25">
      <c r="B56" s="14" t="s">
        <v>47</v>
      </c>
      <c r="C56" s="28">
        <v>49433.950121000002</v>
      </c>
      <c r="D56" s="28">
        <v>4873.6746629999898</v>
      </c>
      <c r="E56" s="28">
        <v>1996</v>
      </c>
      <c r="F56" s="28">
        <v>9510</v>
      </c>
      <c r="G56" s="28">
        <f t="shared" si="0"/>
        <v>65813.624783999985</v>
      </c>
    </row>
    <row r="57" spans="2:9" x14ac:dyDescent="0.25">
      <c r="B57" s="14" t="s">
        <v>48</v>
      </c>
      <c r="C57" s="28">
        <v>14.0148350877193</v>
      </c>
      <c r="D57" s="28">
        <v>34</v>
      </c>
      <c r="E57" s="28">
        <v>24</v>
      </c>
      <c r="F57" s="28">
        <v>30</v>
      </c>
      <c r="G57" s="28">
        <f>AVERAGE(C57:F57)</f>
        <v>25.503708771929823</v>
      </c>
    </row>
    <row r="58" spans="2:9" x14ac:dyDescent="0.25">
      <c r="B58" s="14" t="s">
        <v>49</v>
      </c>
      <c r="C58" s="28">
        <v>865785</v>
      </c>
      <c r="D58" s="28">
        <v>134683</v>
      </c>
      <c r="E58" s="97">
        <v>50919</v>
      </c>
      <c r="F58" s="28">
        <v>70983</v>
      </c>
      <c r="G58" s="28">
        <f t="shared" si="0"/>
        <v>1122370</v>
      </c>
    </row>
    <row r="59" spans="2:9" x14ac:dyDescent="0.25">
      <c r="B59" s="14" t="s">
        <v>50</v>
      </c>
      <c r="C59" s="28">
        <v>1738904.5211090001</v>
      </c>
      <c r="D59" s="28">
        <v>258873.02096600001</v>
      </c>
      <c r="E59" s="97">
        <v>113106.038961</v>
      </c>
      <c r="F59" s="28">
        <v>155257</v>
      </c>
      <c r="G59" s="11">
        <f t="shared" si="0"/>
        <v>2266140.581036</v>
      </c>
    </row>
    <row r="60" spans="2:9" x14ac:dyDescent="0.25">
      <c r="B60" s="74" t="s">
        <v>51</v>
      </c>
      <c r="C60" s="74"/>
      <c r="D60" s="74"/>
      <c r="E60" s="74"/>
      <c r="F60" s="74"/>
      <c r="G60" s="7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4" t="s">
        <v>52</v>
      </c>
      <c r="C66" s="74"/>
      <c r="D66" s="74"/>
      <c r="E66" s="74"/>
      <c r="F66" s="74"/>
      <c r="G66" s="74"/>
    </row>
    <row r="67" spans="2:8" x14ac:dyDescent="0.25">
      <c r="B67" s="14" t="s">
        <v>46</v>
      </c>
      <c r="C67" s="28">
        <v>6293</v>
      </c>
      <c r="D67" s="28">
        <v>1617</v>
      </c>
      <c r="E67" s="28">
        <v>990</v>
      </c>
      <c r="F67" s="28">
        <v>11238</v>
      </c>
      <c r="G67" s="28">
        <f t="shared" si="0"/>
        <v>20138</v>
      </c>
    </row>
    <row r="68" spans="2:8" x14ac:dyDescent="0.25">
      <c r="B68" s="14" t="s">
        <v>47</v>
      </c>
      <c r="C68" s="28">
        <v>5276.5900279999996</v>
      </c>
      <c r="D68" s="28">
        <v>1718.6297300000001</v>
      </c>
      <c r="E68" s="28">
        <v>1106</v>
      </c>
      <c r="F68" s="28">
        <v>13531</v>
      </c>
      <c r="G68" s="28">
        <f t="shared" si="0"/>
        <v>21632.219757999999</v>
      </c>
    </row>
    <row r="69" spans="2:8" x14ac:dyDescent="0.25">
      <c r="B69" s="14" t="s">
        <v>48</v>
      </c>
      <c r="C69" s="28">
        <v>38.110122358175801</v>
      </c>
      <c r="D69" s="28">
        <v>54</v>
      </c>
      <c r="E69" s="28">
        <v>48</v>
      </c>
      <c r="F69" s="28">
        <v>38</v>
      </c>
      <c r="G69" s="28">
        <f>AVERAGE(C69:F69)</f>
        <v>44.52753058954395</v>
      </c>
    </row>
    <row r="70" spans="2:8" x14ac:dyDescent="0.25">
      <c r="B70" s="14" t="s">
        <v>49</v>
      </c>
      <c r="C70" s="28">
        <v>124079</v>
      </c>
      <c r="D70" s="28">
        <v>86669</v>
      </c>
      <c r="E70" s="28">
        <v>55093</v>
      </c>
      <c r="F70" s="28">
        <v>255083</v>
      </c>
      <c r="G70" s="28">
        <f t="shared" si="0"/>
        <v>520924</v>
      </c>
    </row>
    <row r="71" spans="2:8" x14ac:dyDescent="0.25">
      <c r="B71" s="14" t="s">
        <v>50</v>
      </c>
      <c r="C71" s="28">
        <v>122431.695889</v>
      </c>
      <c r="D71" s="28">
        <v>95188.827323999998</v>
      </c>
      <c r="E71" s="28">
        <v>56981.401684999997</v>
      </c>
      <c r="F71" s="28">
        <v>224281</v>
      </c>
      <c r="G71" s="11">
        <f t="shared" si="0"/>
        <v>498882.92489799997</v>
      </c>
    </row>
    <row r="72" spans="2:8" x14ac:dyDescent="0.25">
      <c r="B72" s="83" t="s">
        <v>53</v>
      </c>
      <c r="C72" s="84"/>
      <c r="D72" s="84"/>
      <c r="E72" s="84"/>
      <c r="F72" s="84"/>
      <c r="G72" s="85"/>
    </row>
    <row r="73" spans="2:8" x14ac:dyDescent="0.25">
      <c r="B73" s="18" t="s">
        <v>54</v>
      </c>
      <c r="C73" s="19">
        <f>+C55+C67</f>
        <v>77543</v>
      </c>
      <c r="D73" s="19">
        <v>5815</v>
      </c>
      <c r="E73" s="19">
        <v>2214</v>
      </c>
      <c r="F73" s="19">
        <v>15630</v>
      </c>
      <c r="G73" s="19">
        <f>SUM(C73:F73)</f>
        <v>101202</v>
      </c>
    </row>
    <row r="74" spans="2:8" x14ac:dyDescent="0.25">
      <c r="B74" s="18" t="s">
        <v>47</v>
      </c>
      <c r="C74" s="19">
        <f>+C56+C68</f>
        <v>54710.540149</v>
      </c>
      <c r="D74" s="19">
        <v>6592.3043929999894</v>
      </c>
      <c r="E74" s="19">
        <v>3102</v>
      </c>
      <c r="F74" s="19">
        <v>23041</v>
      </c>
      <c r="G74" s="22">
        <f>SUM(C74:F74)</f>
        <v>87445.844541999992</v>
      </c>
    </row>
    <row r="75" spans="2:8" x14ac:dyDescent="0.25">
      <c r="B75" s="18" t="s">
        <v>48</v>
      </c>
      <c r="C75" s="19">
        <v>15.970287453412899</v>
      </c>
      <c r="D75" s="19">
        <v>29.333333333333332</v>
      </c>
      <c r="E75" s="19">
        <v>72</v>
      </c>
      <c r="F75" s="19">
        <v>34</v>
      </c>
      <c r="G75" s="19">
        <f>AVERAGE(C75:F75)</f>
        <v>37.825905196686556</v>
      </c>
    </row>
    <row r="76" spans="2:8" x14ac:dyDescent="0.25">
      <c r="B76" s="18" t="s">
        <v>49</v>
      </c>
      <c r="C76" s="19">
        <f>+C58+C70</f>
        <v>989864</v>
      </c>
      <c r="D76" s="19">
        <v>221352</v>
      </c>
      <c r="E76" s="19">
        <v>106012</v>
      </c>
      <c r="F76" s="19">
        <v>326066</v>
      </c>
      <c r="G76" s="19">
        <f>SUM(C76:F76)</f>
        <v>1643294</v>
      </c>
    </row>
    <row r="77" spans="2:8" x14ac:dyDescent="0.25">
      <c r="B77" s="18" t="s">
        <v>50</v>
      </c>
      <c r="C77" s="19">
        <f>+C59+C71</f>
        <v>1861336.2169980002</v>
      </c>
      <c r="D77" s="19">
        <v>354061.84828999999</v>
      </c>
      <c r="E77" s="19">
        <v>170087.440646</v>
      </c>
      <c r="F77" s="19">
        <v>379538</v>
      </c>
      <c r="G77" s="22">
        <f>SUM(C77:F77)</f>
        <v>2765023.5059340005</v>
      </c>
    </row>
    <row r="78" spans="2:8" x14ac:dyDescent="0.25">
      <c r="B78" s="70"/>
      <c r="C78" s="70"/>
      <c r="D78" s="70"/>
      <c r="E78" s="70"/>
      <c r="F78" s="70"/>
      <c r="G78" s="70"/>
      <c r="H78" s="70"/>
    </row>
    <row r="79" spans="2:8" x14ac:dyDescent="0.25">
      <c r="B79" s="75" t="s">
        <v>55</v>
      </c>
      <c r="C79" s="76"/>
      <c r="D79" s="76"/>
      <c r="E79" s="76"/>
      <c r="F79" s="76"/>
      <c r="G79" s="77"/>
    </row>
    <row r="80" spans="2:8" x14ac:dyDescent="0.25">
      <c r="B80" s="71" t="s">
        <v>45</v>
      </c>
      <c r="C80" s="72"/>
      <c r="D80" s="72"/>
      <c r="E80" s="72"/>
      <c r="F80" s="72"/>
      <c r="G80" s="7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1025</v>
      </c>
      <c r="D84" s="24">
        <v>120</v>
      </c>
      <c r="E84" s="24">
        <v>6</v>
      </c>
      <c r="F84" s="24">
        <v>97</v>
      </c>
      <c r="G84" s="24">
        <f>SUM(C84:F84)</f>
        <v>1248</v>
      </c>
    </row>
    <row r="85" spans="2:7" x14ac:dyDescent="0.25">
      <c r="B85" s="14" t="s">
        <v>50</v>
      </c>
      <c r="C85" s="24">
        <v>22284.546124</v>
      </c>
      <c r="D85" s="24">
        <v>1510</v>
      </c>
      <c r="E85" s="24">
        <v>79</v>
      </c>
      <c r="F85" s="24">
        <v>1825.0223269999999</v>
      </c>
      <c r="G85" s="11">
        <f>SUM(C85:F85)</f>
        <v>25698.568450999999</v>
      </c>
    </row>
    <row r="86" spans="2:7" x14ac:dyDescent="0.25">
      <c r="B86" s="71" t="s">
        <v>51</v>
      </c>
      <c r="C86" s="72"/>
      <c r="D86" s="72"/>
      <c r="E86" s="72"/>
      <c r="F86" s="72"/>
      <c r="G86" s="7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1" t="s">
        <v>52</v>
      </c>
      <c r="C92" s="72"/>
      <c r="D92" s="72"/>
      <c r="E92" s="72"/>
      <c r="F92" s="72"/>
      <c r="G92" s="73"/>
    </row>
    <row r="93" spans="2:7" x14ac:dyDescent="0.25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24">
        <v>12</v>
      </c>
      <c r="D96" s="20">
        <v>0</v>
      </c>
      <c r="E96" s="33">
        <v>0</v>
      </c>
      <c r="F96" s="24">
        <v>7</v>
      </c>
      <c r="G96" s="28">
        <f>SUM(C96:F96)</f>
        <v>19</v>
      </c>
    </row>
    <row r="97" spans="2:8" x14ac:dyDescent="0.25">
      <c r="B97" s="14" t="s">
        <v>50</v>
      </c>
      <c r="C97" s="24">
        <v>191.063548</v>
      </c>
      <c r="D97" s="20">
        <v>0</v>
      </c>
      <c r="E97" s="33">
        <v>0</v>
      </c>
      <c r="F97" s="24">
        <v>90.321433999999996</v>
      </c>
      <c r="G97" s="11">
        <f>SUM(C97:F97)</f>
        <v>281.38498199999998</v>
      </c>
    </row>
    <row r="98" spans="2:8" x14ac:dyDescent="0.25">
      <c r="B98" s="83" t="s">
        <v>56</v>
      </c>
      <c r="C98" s="84"/>
      <c r="D98" s="84"/>
      <c r="E98" s="84"/>
      <c r="F98" s="84"/>
      <c r="G98" s="8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1037</v>
      </c>
      <c r="D102" s="19">
        <f t="shared" ref="D102:D103" si="1">+D96+D90+D84</f>
        <v>120</v>
      </c>
      <c r="E102" s="19">
        <f>+E84</f>
        <v>6</v>
      </c>
      <c r="F102" s="19">
        <f>+F96+F84</f>
        <v>104</v>
      </c>
      <c r="G102" s="19">
        <f>SUM(C102:F102)</f>
        <v>1267</v>
      </c>
    </row>
    <row r="103" spans="2:8" x14ac:dyDescent="0.25">
      <c r="B103" s="18" t="s">
        <v>50</v>
      </c>
      <c r="C103" s="19">
        <f>+C97+C85</f>
        <v>22475.609671999999</v>
      </c>
      <c r="D103" s="19">
        <f t="shared" si="1"/>
        <v>1510</v>
      </c>
      <c r="E103" s="19">
        <f>+E85</f>
        <v>79</v>
      </c>
      <c r="F103" s="19">
        <f>+F85+F97</f>
        <v>1915.3437609999999</v>
      </c>
      <c r="G103" s="22">
        <f>SUM(C103:F103)</f>
        <v>25979.953432999999</v>
      </c>
    </row>
    <row r="104" spans="2:8" x14ac:dyDescent="0.25">
      <c r="B104" s="70"/>
      <c r="C104" s="70"/>
      <c r="D104" s="70"/>
      <c r="E104" s="70"/>
      <c r="F104" s="70"/>
      <c r="G104" s="70"/>
      <c r="H104" s="70"/>
    </row>
    <row r="105" spans="2:8" x14ac:dyDescent="0.25">
      <c r="B105" s="69" t="s">
        <v>57</v>
      </c>
      <c r="C105" s="69"/>
      <c r="D105" s="69"/>
      <c r="E105" s="69"/>
      <c r="F105" s="69"/>
      <c r="G105" s="69"/>
    </row>
    <row r="106" spans="2:8" x14ac:dyDescent="0.25">
      <c r="B106" s="74" t="s">
        <v>58</v>
      </c>
      <c r="C106" s="74"/>
      <c r="D106" s="74"/>
      <c r="E106" s="74"/>
      <c r="F106" s="74"/>
      <c r="G106" s="74"/>
    </row>
    <row r="107" spans="2:8" x14ac:dyDescent="0.25">
      <c r="B107" s="14" t="s">
        <v>59</v>
      </c>
      <c r="C107" s="13">
        <v>2.4394269022600135</v>
      </c>
      <c r="D107" s="13">
        <v>2.4476688867744887</v>
      </c>
      <c r="E107" s="31">
        <v>2.59</v>
      </c>
      <c r="F107" s="31">
        <v>2.4900000000000002</v>
      </c>
      <c r="G107" s="13">
        <f>AVERAGE(C107:F107)</f>
        <v>2.4917739472586256</v>
      </c>
    </row>
    <row r="108" spans="2:8" x14ac:dyDescent="0.25">
      <c r="B108" s="14" t="s">
        <v>60</v>
      </c>
      <c r="C108" s="13">
        <v>2.2760132291038158</v>
      </c>
      <c r="D108" s="13">
        <v>2.4500000000000308</v>
      </c>
      <c r="E108" s="32">
        <v>2.74</v>
      </c>
      <c r="F108" s="31">
        <v>2.4900000000000002</v>
      </c>
      <c r="G108" s="13">
        <f>AVERAGE(C108:F108)</f>
        <v>2.4890033072759619</v>
      </c>
    </row>
    <row r="109" spans="2:8" x14ac:dyDescent="0.25">
      <c r="B109" s="14" t="s">
        <v>61</v>
      </c>
      <c r="C109" s="13">
        <v>2.1978955177083686</v>
      </c>
      <c r="D109" s="13">
        <v>2.6102118003025523</v>
      </c>
      <c r="E109" s="31">
        <v>2.83</v>
      </c>
      <c r="F109" s="31">
        <v>2.57</v>
      </c>
      <c r="G109" s="13">
        <f>AVERAGE(C109:F109)</f>
        <v>2.5520268295027302</v>
      </c>
    </row>
    <row r="110" spans="2:8" x14ac:dyDescent="0.25">
      <c r="B110" s="74" t="s">
        <v>62</v>
      </c>
      <c r="C110" s="74"/>
      <c r="D110" s="74"/>
      <c r="E110" s="74"/>
      <c r="F110" s="74"/>
      <c r="G110" s="74"/>
    </row>
    <row r="111" spans="2:8" x14ac:dyDescent="0.25">
      <c r="B111" s="14" t="s">
        <v>59</v>
      </c>
      <c r="C111" s="13">
        <v>2.2999999999999998</v>
      </c>
      <c r="D111" s="13">
        <v>1.5999999999999999</v>
      </c>
      <c r="E111" s="31">
        <v>1.6</v>
      </c>
      <c r="F111" s="13">
        <v>1.99</v>
      </c>
      <c r="G111" s="13">
        <f>AVERAGE(C111:F111)</f>
        <v>1.8725000000000001</v>
      </c>
    </row>
    <row r="112" spans="2:8" x14ac:dyDescent="0.25">
      <c r="B112" s="14" t="s">
        <v>60</v>
      </c>
      <c r="C112" s="13">
        <v>2.0593023255813945</v>
      </c>
      <c r="D112" s="13">
        <v>2.1599999999999993</v>
      </c>
      <c r="E112" s="31">
        <v>2.15</v>
      </c>
      <c r="F112" s="31">
        <v>2.14</v>
      </c>
      <c r="G112" s="13">
        <f>AVERAGE(C112:F112)</f>
        <v>2.1273255813953487</v>
      </c>
    </row>
    <row r="113" spans="2:9" x14ac:dyDescent="0.25">
      <c r="B113" s="14" t="s">
        <v>61</v>
      </c>
      <c r="C113" s="13">
        <v>2.0809876543209835</v>
      </c>
      <c r="D113" s="13">
        <v>2.1600000000000028</v>
      </c>
      <c r="E113" s="31">
        <v>2.4900000000000002</v>
      </c>
      <c r="F113" s="31">
        <v>2.15</v>
      </c>
      <c r="G113" s="13">
        <f>AVERAGE(C113:F113)</f>
        <v>2.2202469135802465</v>
      </c>
    </row>
    <row r="114" spans="2:9" x14ac:dyDescent="0.25">
      <c r="B114" s="70"/>
      <c r="C114" s="70"/>
      <c r="D114" s="70"/>
      <c r="E114" s="70"/>
      <c r="F114" s="70"/>
      <c r="G114" s="70"/>
      <c r="H114" s="70"/>
      <c r="I114" s="70"/>
    </row>
    <row r="115" spans="2:9" x14ac:dyDescent="0.25">
      <c r="B115" s="74" t="s">
        <v>63</v>
      </c>
      <c r="C115" s="74"/>
      <c r="D115" s="74"/>
      <c r="E115" s="74"/>
      <c r="F115" s="74"/>
      <c r="G115" s="74"/>
    </row>
    <row r="116" spans="2:9" x14ac:dyDescent="0.25">
      <c r="B116" s="14" t="s">
        <v>59</v>
      </c>
      <c r="C116" s="13">
        <v>1.5212050473186147</v>
      </c>
      <c r="D116" s="13">
        <v>1.7900000000000023</v>
      </c>
      <c r="E116" s="32">
        <v>1.77</v>
      </c>
      <c r="F116" s="32">
        <v>1.77</v>
      </c>
      <c r="G116" s="13">
        <f>AVERAGE(C116:F116)</f>
        <v>1.7128012618296542</v>
      </c>
    </row>
    <row r="117" spans="2:9" x14ac:dyDescent="0.25">
      <c r="B117" s="14" t="s">
        <v>60</v>
      </c>
      <c r="C117" s="13">
        <v>1.7579841172877744</v>
      </c>
      <c r="D117" s="13">
        <v>1.7824472573839727</v>
      </c>
      <c r="E117" s="32">
        <v>1.77</v>
      </c>
      <c r="F117" s="32">
        <v>1.77</v>
      </c>
      <c r="G117" s="13">
        <f>AVERAGE(C117:F117)</f>
        <v>1.7701078436679367</v>
      </c>
    </row>
    <row r="118" spans="2:9" x14ac:dyDescent="0.25">
      <c r="B118" s="14" t="s">
        <v>61</v>
      </c>
      <c r="C118" s="13">
        <v>1.7472776324395234</v>
      </c>
      <c r="D118" s="13">
        <v>1.7886434255399462</v>
      </c>
      <c r="E118" s="32">
        <v>2.09</v>
      </c>
      <c r="F118" s="13">
        <v>1.89</v>
      </c>
      <c r="G118" s="13">
        <f>AVERAGE(C118:F118)</f>
        <v>1.8789802644948672</v>
      </c>
    </row>
    <row r="119" spans="2:9" x14ac:dyDescent="0.25">
      <c r="B119" s="71" t="s">
        <v>64</v>
      </c>
      <c r="C119" s="72"/>
      <c r="D119" s="72"/>
      <c r="E119" s="72"/>
      <c r="F119" s="72"/>
      <c r="G119" s="73"/>
    </row>
    <row r="120" spans="2:9" x14ac:dyDescent="0.25">
      <c r="B120" s="14" t="s">
        <v>59</v>
      </c>
      <c r="C120" s="13">
        <v>0</v>
      </c>
      <c r="D120" s="13">
        <v>1.43</v>
      </c>
      <c r="E120" s="31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1.43</v>
      </c>
      <c r="D121" s="13">
        <v>1.43</v>
      </c>
      <c r="E121" s="31">
        <v>0</v>
      </c>
      <c r="F121" s="13">
        <v>1.43</v>
      </c>
      <c r="G121" s="13">
        <f>AVERAGE(C121:F121)</f>
        <v>1.0725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1.75</v>
      </c>
      <c r="F122" s="13">
        <v>1.69</v>
      </c>
      <c r="G122" s="13">
        <f>AVERAGE(C122:F122)</f>
        <v>1.5749999999999997</v>
      </c>
    </row>
    <row r="123" spans="2:9" x14ac:dyDescent="0.25">
      <c r="B123" s="70"/>
      <c r="C123" s="70"/>
      <c r="D123" s="70"/>
      <c r="E123" s="70"/>
      <c r="F123" s="70"/>
      <c r="G123" s="70"/>
      <c r="H123" s="70"/>
    </row>
    <row r="124" spans="2:9" x14ac:dyDescent="0.25">
      <c r="B124" s="75" t="s">
        <v>65</v>
      </c>
      <c r="C124" s="76"/>
      <c r="D124" s="76"/>
      <c r="E124" s="76"/>
      <c r="F124" s="76"/>
      <c r="G124" s="7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5" t="s">
        <v>67</v>
      </c>
      <c r="C126" s="76"/>
      <c r="D126" s="76"/>
      <c r="E126" s="76"/>
      <c r="F126" s="76"/>
      <c r="G126" s="77"/>
    </row>
    <row r="127" spans="2:9" x14ac:dyDescent="0.25">
      <c r="B127" s="3" t="s">
        <v>68</v>
      </c>
      <c r="C127" s="13">
        <v>1.63</v>
      </c>
      <c r="D127" s="39">
        <v>2.041283</v>
      </c>
      <c r="E127" s="34">
        <v>2.0835521046889602</v>
      </c>
      <c r="F127" s="4">
        <v>0</v>
      </c>
      <c r="G127" s="11">
        <f>AVERAGE(C127:E127)</f>
        <v>1.9182783682296531</v>
      </c>
    </row>
    <row r="128" spans="2:9" x14ac:dyDescent="0.25">
      <c r="B128" s="82"/>
      <c r="C128" s="82"/>
      <c r="D128" s="82"/>
      <c r="E128" s="82"/>
      <c r="F128" s="82"/>
      <c r="G128" s="82"/>
      <c r="H128" s="82"/>
    </row>
    <row r="129" spans="2:9" x14ac:dyDescent="0.25">
      <c r="B129" s="69" t="s">
        <v>69</v>
      </c>
      <c r="C129" s="69"/>
      <c r="D129" s="69"/>
      <c r="E129" s="69"/>
      <c r="F129" s="69"/>
      <c r="G129" s="69"/>
    </row>
    <row r="130" spans="2:9" x14ac:dyDescent="0.25">
      <c r="B130" s="14" t="s">
        <v>70</v>
      </c>
      <c r="C130" s="28">
        <v>253502</v>
      </c>
      <c r="D130" s="28">
        <v>3580</v>
      </c>
      <c r="E130" s="28">
        <v>8566</v>
      </c>
      <c r="F130" s="28">
        <v>809</v>
      </c>
      <c r="G130" s="28">
        <f>SUM(C130:F130)</f>
        <v>266457</v>
      </c>
    </row>
    <row r="131" spans="2:9" x14ac:dyDescent="0.25">
      <c r="B131" s="14" t="s">
        <v>71</v>
      </c>
      <c r="C131" s="28">
        <v>167513.44649999999</v>
      </c>
      <c r="D131" s="28">
        <v>3817.5570290000001</v>
      </c>
      <c r="E131" s="28">
        <v>1080</v>
      </c>
      <c r="F131" s="28">
        <v>823.66932399999996</v>
      </c>
      <c r="G131" s="11">
        <f>SUM(C131:F131)</f>
        <v>173234.67285299997</v>
      </c>
    </row>
    <row r="132" spans="2:9" x14ac:dyDescent="0.25">
      <c r="B132" s="70"/>
      <c r="C132" s="70"/>
      <c r="D132" s="70"/>
      <c r="E132" s="70"/>
      <c r="F132" s="70"/>
      <c r="G132" s="70"/>
      <c r="H132" s="70"/>
    </row>
    <row r="133" spans="2:9" x14ac:dyDescent="0.25">
      <c r="B133" s="69" t="s">
        <v>72</v>
      </c>
      <c r="C133" s="69"/>
      <c r="D133" s="69"/>
      <c r="E133" s="69"/>
      <c r="F133" s="69"/>
      <c r="G133" s="69"/>
    </row>
    <row r="134" spans="2:9" x14ac:dyDescent="0.25">
      <c r="B134" s="14" t="s">
        <v>73</v>
      </c>
      <c r="C134" s="28">
        <v>494496</v>
      </c>
      <c r="D134" s="28">
        <v>367094</v>
      </c>
      <c r="E134" s="28">
        <v>119515</v>
      </c>
      <c r="F134" s="28">
        <v>290470</v>
      </c>
      <c r="G134" s="28">
        <f>SUM(C134:F134)</f>
        <v>1271575</v>
      </c>
    </row>
    <row r="135" spans="2:9" x14ac:dyDescent="0.25">
      <c r="B135" s="70"/>
      <c r="C135" s="70"/>
      <c r="D135" s="70"/>
      <c r="E135" s="70"/>
      <c r="F135" s="70"/>
      <c r="G135" s="70"/>
      <c r="H135" s="70"/>
    </row>
    <row r="136" spans="2:9" ht="21" x14ac:dyDescent="0.35">
      <c r="B136" s="78" t="s">
        <v>74</v>
      </c>
      <c r="C136" s="78"/>
      <c r="D136" s="78"/>
      <c r="E136" s="78"/>
      <c r="F136" s="78"/>
      <c r="G136" s="78"/>
    </row>
    <row r="137" spans="2:9" x14ac:dyDescent="0.25">
      <c r="B137" s="69" t="s">
        <v>75</v>
      </c>
      <c r="C137" s="69"/>
      <c r="D137" s="69"/>
      <c r="E137" s="69"/>
      <c r="F137" s="69"/>
      <c r="G137" s="69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15563</v>
      </c>
      <c r="G138" s="28">
        <f>SUM(C138:F138)</f>
        <v>15563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197</v>
      </c>
      <c r="G139" s="28">
        <f>SUM(C139:F139)</f>
        <v>197</v>
      </c>
      <c r="H139" s="7"/>
      <c r="I139" s="7"/>
    </row>
    <row r="140" spans="2:9" x14ac:dyDescent="0.25">
      <c r="B140" s="70"/>
      <c r="C140" s="70"/>
      <c r="D140" s="70"/>
      <c r="E140" s="70"/>
      <c r="F140" s="70"/>
      <c r="G140" s="70"/>
      <c r="H140" s="70"/>
      <c r="I140" s="7"/>
    </row>
    <row r="141" spans="2:9" x14ac:dyDescent="0.25">
      <c r="B141" s="70"/>
      <c r="C141" s="70"/>
      <c r="D141" s="70"/>
      <c r="E141" s="70"/>
      <c r="F141" s="70"/>
      <c r="G141" s="70"/>
      <c r="H141" s="70"/>
    </row>
    <row r="142" spans="2:9" ht="21" x14ac:dyDescent="0.35">
      <c r="B142" s="79" t="s">
        <v>78</v>
      </c>
      <c r="C142" s="80"/>
      <c r="D142" s="80"/>
      <c r="E142" s="80"/>
      <c r="F142" s="80"/>
      <c r="G142" s="81"/>
    </row>
    <row r="143" spans="2:9" x14ac:dyDescent="0.25">
      <c r="B143" s="75" t="s">
        <v>79</v>
      </c>
      <c r="C143" s="76"/>
      <c r="D143" s="76"/>
      <c r="E143" s="76"/>
      <c r="F143" s="76"/>
      <c r="G143" s="77"/>
    </row>
    <row r="144" spans="2:9" x14ac:dyDescent="0.25">
      <c r="B144" s="70"/>
      <c r="C144" s="70"/>
      <c r="D144" s="70"/>
      <c r="E144" s="70"/>
      <c r="F144" s="70"/>
      <c r="G144" s="70"/>
      <c r="H144" s="70"/>
    </row>
    <row r="145" spans="2:8" x14ac:dyDescent="0.25">
      <c r="B145" s="74" t="s">
        <v>80</v>
      </c>
      <c r="C145" s="74"/>
      <c r="D145" s="74"/>
      <c r="E145" s="74"/>
      <c r="F145" s="74"/>
      <c r="G145" s="74"/>
    </row>
    <row r="146" spans="2:8" x14ac:dyDescent="0.25">
      <c r="B146" s="14" t="s">
        <v>81</v>
      </c>
      <c r="C146" s="28">
        <v>0</v>
      </c>
      <c r="D146" s="28">
        <v>1793</v>
      </c>
      <c r="E146" s="28">
        <v>0</v>
      </c>
      <c r="F146" s="1">
        <v>339</v>
      </c>
      <c r="G146" s="28">
        <f>SUM(C146:F146)</f>
        <v>2132</v>
      </c>
    </row>
    <row r="147" spans="2:8" x14ac:dyDescent="0.25">
      <c r="B147" s="14" t="s">
        <v>82</v>
      </c>
      <c r="C147" s="28">
        <v>0</v>
      </c>
      <c r="D147" s="28">
        <v>39.380000000000003</v>
      </c>
      <c r="E147" s="28">
        <v>0</v>
      </c>
      <c r="F147" s="30">
        <v>4.3384999999999998</v>
      </c>
      <c r="G147" s="11">
        <f>SUM(C147:F147)</f>
        <v>43.718500000000006</v>
      </c>
    </row>
    <row r="148" spans="2:8" x14ac:dyDescent="0.25">
      <c r="B148" s="70"/>
      <c r="C148" s="70"/>
      <c r="D148" s="70"/>
      <c r="E148" s="70"/>
      <c r="F148" s="70"/>
      <c r="G148" s="70"/>
      <c r="H148" s="70"/>
    </row>
    <row r="149" spans="2:8" x14ac:dyDescent="0.25">
      <c r="B149" s="74" t="s">
        <v>83</v>
      </c>
      <c r="C149" s="74"/>
      <c r="D149" s="74"/>
      <c r="E149" s="74"/>
      <c r="F149" s="74"/>
      <c r="G149" s="74"/>
    </row>
    <row r="150" spans="2:8" x14ac:dyDescent="0.25">
      <c r="B150" s="14" t="s">
        <v>84</v>
      </c>
      <c r="C150" s="28">
        <v>0</v>
      </c>
      <c r="D150" s="37">
        <v>0</v>
      </c>
      <c r="E150" s="28">
        <v>0</v>
      </c>
      <c r="F150" s="28">
        <v>0</v>
      </c>
      <c r="G150" s="28">
        <f>SUM(C150:F150)</f>
        <v>0</v>
      </c>
      <c r="H150"/>
    </row>
    <row r="151" spans="2:8" x14ac:dyDescent="0.25">
      <c r="B151" s="14" t="s">
        <v>85</v>
      </c>
      <c r="C151" s="28">
        <v>0</v>
      </c>
      <c r="D151" s="37">
        <v>0.04</v>
      </c>
      <c r="E151" s="28">
        <v>0</v>
      </c>
      <c r="F151" s="28">
        <v>0</v>
      </c>
      <c r="G151" s="11">
        <f>SUM(C151:F151)</f>
        <v>0.04</v>
      </c>
      <c r="H151"/>
    </row>
    <row r="152" spans="2:8" x14ac:dyDescent="0.25">
      <c r="B152" s="70"/>
      <c r="C152" s="70"/>
      <c r="D152" s="70"/>
      <c r="E152" s="70"/>
      <c r="F152" s="70"/>
      <c r="G152" s="70"/>
      <c r="H152" s="70"/>
    </row>
    <row r="153" spans="2:8" x14ac:dyDescent="0.25">
      <c r="B153" s="74" t="s">
        <v>86</v>
      </c>
      <c r="C153" s="74"/>
      <c r="D153" s="74"/>
      <c r="E153" s="74"/>
      <c r="F153" s="74"/>
      <c r="G153" s="74"/>
    </row>
    <row r="154" spans="2:8" x14ac:dyDescent="0.25">
      <c r="B154" s="14" t="s">
        <v>87</v>
      </c>
      <c r="C154" s="14">
        <v>0</v>
      </c>
      <c r="D154" s="28">
        <v>98</v>
      </c>
      <c r="E154" s="36">
        <v>0</v>
      </c>
      <c r="F154" s="35">
        <v>0</v>
      </c>
      <c r="G154" s="28">
        <f>SUM(C154:F154)</f>
        <v>98</v>
      </c>
      <c r="H154"/>
    </row>
    <row r="155" spans="2:8" x14ac:dyDescent="0.25">
      <c r="B155" s="14" t="s">
        <v>88</v>
      </c>
      <c r="C155" s="55">
        <v>0</v>
      </c>
      <c r="D155" s="28">
        <v>1.34</v>
      </c>
      <c r="E155" s="36">
        <v>0</v>
      </c>
      <c r="F155" s="35">
        <v>0</v>
      </c>
      <c r="G155" s="11">
        <f>SUM(C155:F155)</f>
        <v>1.34</v>
      </c>
      <c r="H155"/>
    </row>
    <row r="156" spans="2:8" x14ac:dyDescent="0.25">
      <c r="B156" s="70"/>
      <c r="C156" s="70"/>
      <c r="D156" s="70"/>
      <c r="E156" s="70"/>
      <c r="F156" s="70"/>
      <c r="G156" s="70"/>
      <c r="H156" s="70"/>
    </row>
    <row r="157" spans="2:8" x14ac:dyDescent="0.25">
      <c r="B157" s="71" t="s">
        <v>89</v>
      </c>
      <c r="C157" s="72"/>
      <c r="D157" s="72"/>
      <c r="E157" s="72"/>
      <c r="F157" s="72"/>
      <c r="G157" s="73"/>
    </row>
    <row r="158" spans="2:8" x14ac:dyDescent="0.25">
      <c r="B158" s="18" t="s">
        <v>90</v>
      </c>
      <c r="C158" s="19">
        <v>0</v>
      </c>
      <c r="D158" s="46">
        <v>1893</v>
      </c>
      <c r="E158" s="19">
        <v>0</v>
      </c>
      <c r="F158" s="19">
        <f>F146+F154</f>
        <v>339</v>
      </c>
      <c r="G158" s="19">
        <f>SUM(C158:F158)</f>
        <v>2232</v>
      </c>
    </row>
    <row r="159" spans="2:8" x14ac:dyDescent="0.25">
      <c r="B159" s="18" t="s">
        <v>91</v>
      </c>
      <c r="C159" s="19">
        <v>0</v>
      </c>
      <c r="D159" s="46">
        <v>40.760000000000005</v>
      </c>
      <c r="E159" s="19">
        <v>0</v>
      </c>
      <c r="F159" s="19">
        <f>F147+F155</f>
        <v>4.3384999999999998</v>
      </c>
      <c r="G159" s="22">
        <f>SUM(C159:F159)</f>
        <v>45.098500000000001</v>
      </c>
    </row>
    <row r="160" spans="2:8" x14ac:dyDescent="0.25">
      <c r="B160" s="70"/>
      <c r="C160" s="70"/>
      <c r="D160" s="70"/>
      <c r="E160" s="70"/>
      <c r="F160" s="70"/>
      <c r="G160" s="70"/>
      <c r="H160" s="70"/>
    </row>
    <row r="161" spans="2:8" x14ac:dyDescent="0.25">
      <c r="B161" s="69" t="s">
        <v>92</v>
      </c>
      <c r="C161" s="69"/>
      <c r="D161" s="69"/>
      <c r="E161" s="69"/>
      <c r="F161" s="69"/>
      <c r="G161" s="69"/>
    </row>
    <row r="162" spans="2:8" x14ac:dyDescent="0.25">
      <c r="B162" s="14" t="s">
        <v>87</v>
      </c>
      <c r="C162" s="28">
        <v>2864</v>
      </c>
      <c r="D162" s="28">
        <v>31861</v>
      </c>
      <c r="E162" s="28">
        <v>3650</v>
      </c>
      <c r="F162" s="28">
        <v>17347</v>
      </c>
      <c r="G162" s="28">
        <f>SUM(C162:F162)</f>
        <v>55722</v>
      </c>
    </row>
    <row r="163" spans="2:8" x14ac:dyDescent="0.25">
      <c r="B163" s="14" t="s">
        <v>88</v>
      </c>
      <c r="C163" s="28">
        <f>66583533/1000000</f>
        <v>66.583533000000003</v>
      </c>
      <c r="D163" s="28">
        <v>126.130257</v>
      </c>
      <c r="E163" s="28">
        <v>57.753050000000002</v>
      </c>
      <c r="F163" s="28">
        <v>103.26181699999999</v>
      </c>
      <c r="G163" s="11">
        <f>SUM(C163:F163)</f>
        <v>353.728657</v>
      </c>
    </row>
    <row r="164" spans="2:8" x14ac:dyDescent="0.25">
      <c r="B164" s="70"/>
      <c r="C164" s="70"/>
      <c r="D164" s="70"/>
      <c r="E164" s="70"/>
      <c r="F164" s="70"/>
      <c r="G164" s="70"/>
    </row>
    <row r="165" spans="2:8" x14ac:dyDescent="0.25">
      <c r="B165" s="75" t="s">
        <v>93</v>
      </c>
      <c r="C165" s="76"/>
      <c r="D165" s="76"/>
      <c r="E165" s="76"/>
      <c r="F165" s="76"/>
      <c r="G165" s="77"/>
    </row>
    <row r="166" spans="2:8" x14ac:dyDescent="0.25">
      <c r="B166" s="71" t="s">
        <v>94</v>
      </c>
      <c r="C166" s="72"/>
      <c r="D166" s="72"/>
      <c r="E166" s="72"/>
      <c r="F166" s="72"/>
      <c r="G166" s="73"/>
    </row>
    <row r="167" spans="2:8" x14ac:dyDescent="0.25">
      <c r="B167" s="14" t="s">
        <v>95</v>
      </c>
      <c r="C167" s="28">
        <v>402</v>
      </c>
      <c r="D167" s="28">
        <v>4392</v>
      </c>
      <c r="E167" s="28">
        <v>204</v>
      </c>
      <c r="F167" s="28">
        <v>544</v>
      </c>
      <c r="G167" s="28">
        <f>SUM(C167:F167)</f>
        <v>5542</v>
      </c>
    </row>
    <row r="168" spans="2:8" x14ac:dyDescent="0.25">
      <c r="B168" s="14" t="s">
        <v>96</v>
      </c>
      <c r="C168" s="28">
        <f>10050000/1000000</f>
        <v>10.050000000000001</v>
      </c>
      <c r="D168" s="28">
        <v>92.870999999999995</v>
      </c>
      <c r="E168" s="28">
        <v>4.3099999999999996</v>
      </c>
      <c r="F168" s="28">
        <v>19.7</v>
      </c>
      <c r="G168" s="11">
        <f>SUM(C168:F168)</f>
        <v>126.931</v>
      </c>
    </row>
    <row r="169" spans="2:8" x14ac:dyDescent="0.25">
      <c r="B169" s="70"/>
      <c r="C169" s="70"/>
      <c r="D169" s="70"/>
      <c r="E169" s="70"/>
      <c r="F169" s="70"/>
      <c r="G169" s="70"/>
    </row>
    <row r="170" spans="2:8" x14ac:dyDescent="0.25">
      <c r="B170" s="71" t="s">
        <v>97</v>
      </c>
      <c r="C170" s="72"/>
      <c r="D170" s="72"/>
      <c r="E170" s="72"/>
      <c r="F170" s="72"/>
      <c r="G170" s="73"/>
    </row>
    <row r="171" spans="2:8" x14ac:dyDescent="0.25">
      <c r="B171" s="14" t="s">
        <v>98</v>
      </c>
      <c r="C171" s="28">
        <v>1513</v>
      </c>
      <c r="D171" s="28">
        <v>649</v>
      </c>
      <c r="E171" s="28">
        <v>164</v>
      </c>
      <c r="F171" s="28">
        <v>367</v>
      </c>
      <c r="G171" s="28">
        <f>SUM(C171:F171)</f>
        <v>2693</v>
      </c>
    </row>
    <row r="172" spans="2:8" x14ac:dyDescent="0.25">
      <c r="B172" s="14" t="s">
        <v>96</v>
      </c>
      <c r="C172" s="28">
        <f>33286000/1000000</f>
        <v>33.286000000000001</v>
      </c>
      <c r="D172" s="28">
        <v>13.629</v>
      </c>
      <c r="E172" s="28">
        <v>4.0999999999999996</v>
      </c>
      <c r="F172" s="28">
        <v>7.984</v>
      </c>
      <c r="G172" s="11">
        <f>SUM(C172:F172)</f>
        <v>58.999000000000002</v>
      </c>
    </row>
    <row r="173" spans="2:8" x14ac:dyDescent="0.25">
      <c r="B173" s="70"/>
      <c r="C173" s="70"/>
      <c r="D173" s="70"/>
      <c r="E173" s="70"/>
      <c r="F173" s="70"/>
      <c r="G173" s="70"/>
      <c r="H173" s="70"/>
    </row>
    <row r="174" spans="2:8" x14ac:dyDescent="0.25">
      <c r="B174" s="71" t="s">
        <v>99</v>
      </c>
      <c r="C174" s="72"/>
      <c r="D174" s="72"/>
      <c r="E174" s="72"/>
      <c r="F174" s="72"/>
      <c r="G174" s="73"/>
    </row>
    <row r="175" spans="2:8" x14ac:dyDescent="0.25">
      <c r="B175" s="14" t="s">
        <v>98</v>
      </c>
      <c r="C175" s="28">
        <v>196</v>
      </c>
      <c r="D175" s="28">
        <v>213</v>
      </c>
      <c r="E175" s="28">
        <v>165</v>
      </c>
      <c r="F175" s="28">
        <v>30</v>
      </c>
      <c r="G175" s="28">
        <f>SUM(C175:F175)</f>
        <v>604</v>
      </c>
    </row>
    <row r="176" spans="2:8" x14ac:dyDescent="0.25">
      <c r="B176" s="14" t="s">
        <v>96</v>
      </c>
      <c r="C176" s="28">
        <f>13720000/1000000</f>
        <v>13.72</v>
      </c>
      <c r="D176" s="28">
        <v>22.39</v>
      </c>
      <c r="E176" s="28">
        <v>9.3548080000000002</v>
      </c>
      <c r="F176" s="28">
        <v>3</v>
      </c>
      <c r="G176" s="11">
        <f>SUM(C176:F176)</f>
        <v>48.464807999999998</v>
      </c>
    </row>
    <row r="177" spans="2:8" x14ac:dyDescent="0.25">
      <c r="B177" s="70"/>
      <c r="C177" s="70"/>
      <c r="D177" s="70"/>
      <c r="E177" s="70"/>
      <c r="F177" s="70"/>
      <c r="G177" s="70"/>
      <c r="H177" s="70"/>
    </row>
    <row r="178" spans="2:8" x14ac:dyDescent="0.25">
      <c r="B178" s="71" t="s">
        <v>100</v>
      </c>
      <c r="C178" s="72"/>
      <c r="D178" s="72"/>
      <c r="E178" s="72"/>
      <c r="F178" s="72"/>
      <c r="G178" s="73"/>
    </row>
    <row r="179" spans="2:8" x14ac:dyDescent="0.25">
      <c r="B179" s="14" t="s">
        <v>98</v>
      </c>
      <c r="C179" s="28">
        <v>358</v>
      </c>
      <c r="D179" s="28">
        <v>160994</v>
      </c>
      <c r="E179" s="28">
        <v>0</v>
      </c>
      <c r="F179" s="28">
        <v>0</v>
      </c>
      <c r="G179" s="28">
        <f>SUM(C179:F179)</f>
        <v>161352</v>
      </c>
    </row>
    <row r="180" spans="2:8" x14ac:dyDescent="0.25">
      <c r="B180" s="14" t="s">
        <v>96</v>
      </c>
      <c r="C180" s="28">
        <f>10910000/1000000</f>
        <v>10.91</v>
      </c>
      <c r="D180" s="28">
        <v>2461.08521500081</v>
      </c>
      <c r="E180" s="28">
        <v>0</v>
      </c>
      <c r="F180" s="28">
        <v>0</v>
      </c>
      <c r="G180" s="11">
        <f>SUM(C180:F180)</f>
        <v>2471.9952150008098</v>
      </c>
    </row>
    <row r="181" spans="2:8" x14ac:dyDescent="0.25">
      <c r="B181" s="70"/>
      <c r="C181" s="70"/>
      <c r="D181" s="70"/>
      <c r="E181" s="70"/>
      <c r="F181" s="70"/>
      <c r="G181" s="70"/>
      <c r="H181" s="70"/>
    </row>
    <row r="182" spans="2:8" x14ac:dyDescent="0.25">
      <c r="B182" s="69" t="s">
        <v>101</v>
      </c>
      <c r="C182" s="69"/>
      <c r="D182" s="69"/>
      <c r="E182" s="69"/>
      <c r="F182" s="69"/>
      <c r="G182" s="69"/>
    </row>
    <row r="183" spans="2:8" x14ac:dyDescent="0.25">
      <c r="B183" s="18" t="s">
        <v>102</v>
      </c>
      <c r="C183" s="19">
        <f>+C179+C175+C171+C167</f>
        <v>2469</v>
      </c>
      <c r="D183" s="46">
        <v>166248</v>
      </c>
      <c r="E183" s="19">
        <f t="shared" ref="E183:E184" si="2">+E179+E175+E171+E167</f>
        <v>533</v>
      </c>
      <c r="F183" s="19">
        <f>+F179+F175+F171+F167</f>
        <v>941</v>
      </c>
      <c r="G183" s="19">
        <f>SUM(C183:F183)</f>
        <v>170191</v>
      </c>
    </row>
    <row r="184" spans="2:8" x14ac:dyDescent="0.25">
      <c r="B184" s="18" t="s">
        <v>103</v>
      </c>
      <c r="C184" s="19">
        <f>+C180+C176+C172+C168</f>
        <v>67.966000000000008</v>
      </c>
      <c r="D184" s="46">
        <v>2589.9752150008098</v>
      </c>
      <c r="E184" s="19">
        <f t="shared" si="2"/>
        <v>17.764807999999999</v>
      </c>
      <c r="F184" s="19">
        <f>+F180+F176+F172+F168</f>
        <v>30.683999999999997</v>
      </c>
      <c r="G184" s="22">
        <f>SUM(C184:F184)</f>
        <v>2706.3900230008098</v>
      </c>
    </row>
    <row r="185" spans="2:8" x14ac:dyDescent="0.25">
      <c r="B185" s="70"/>
      <c r="C185" s="70"/>
      <c r="D185" s="70"/>
      <c r="E185" s="70"/>
      <c r="F185" s="70"/>
      <c r="G185" s="70"/>
      <c r="H185" s="70"/>
    </row>
    <row r="186" spans="2:8" x14ac:dyDescent="0.25">
      <c r="B186" s="69" t="s">
        <v>104</v>
      </c>
      <c r="C186" s="69"/>
      <c r="D186" s="69"/>
      <c r="E186" s="69"/>
      <c r="F186" s="69"/>
      <c r="G186" s="69"/>
    </row>
    <row r="187" spans="2:8" x14ac:dyDescent="0.25">
      <c r="B187" s="14" t="s">
        <v>105</v>
      </c>
      <c r="C187" s="28">
        <v>2842</v>
      </c>
      <c r="D187" s="28">
        <v>1042</v>
      </c>
      <c r="E187" s="28">
        <v>91</v>
      </c>
      <c r="F187" s="28">
        <v>18288</v>
      </c>
      <c r="G187" s="28">
        <f>SUM(C187:F187)</f>
        <v>22263</v>
      </c>
    </row>
    <row r="188" spans="2:8" x14ac:dyDescent="0.25">
      <c r="B188" s="14" t="s">
        <v>106</v>
      </c>
      <c r="C188" s="28">
        <f>24456938/1000000</f>
        <v>24.456938000000001</v>
      </c>
      <c r="D188" s="28">
        <v>75.734002000000004</v>
      </c>
      <c r="E188" s="28">
        <v>3.9</v>
      </c>
      <c r="F188" s="28">
        <v>133.94581700000001</v>
      </c>
      <c r="G188" s="11">
        <f>SUM(C188:F188)</f>
        <v>238.03675700000002</v>
      </c>
    </row>
    <row r="189" spans="2:8" x14ac:dyDescent="0.25">
      <c r="B189" s="70"/>
      <c r="C189" s="70"/>
      <c r="D189" s="70"/>
      <c r="E189" s="70"/>
      <c r="F189" s="70"/>
      <c r="G189" s="70"/>
      <c r="H189" s="70"/>
    </row>
    <row r="190" spans="2:8" x14ac:dyDescent="0.25">
      <c r="B190" s="69" t="s">
        <v>107</v>
      </c>
      <c r="C190" s="69"/>
      <c r="D190" s="69"/>
      <c r="E190" s="69"/>
      <c r="F190" s="69"/>
      <c r="G190" s="69"/>
    </row>
    <row r="191" spans="2:8" x14ac:dyDescent="0.25">
      <c r="B191" s="18" t="s">
        <v>108</v>
      </c>
      <c r="C191" s="19">
        <f>C187+C162+C183</f>
        <v>8175</v>
      </c>
      <c r="D191" s="46">
        <v>201044</v>
      </c>
      <c r="E191" s="19">
        <v>4274</v>
      </c>
      <c r="F191" s="19">
        <f>F158+F162+F183+F187</f>
        <v>36915</v>
      </c>
      <c r="G191" s="19">
        <f>SUM(C191:F191)</f>
        <v>250408</v>
      </c>
    </row>
    <row r="192" spans="2:8" x14ac:dyDescent="0.25">
      <c r="B192" s="18" t="s">
        <v>109</v>
      </c>
      <c r="C192" s="19">
        <f>C188+C163+C184</f>
        <v>159.006471</v>
      </c>
      <c r="D192" s="46">
        <v>2832.59947400081</v>
      </c>
      <c r="E192" s="19">
        <v>79.417857999999995</v>
      </c>
      <c r="F192" s="19">
        <f>F159+F184+F163+F188</f>
        <v>272.23013400000002</v>
      </c>
      <c r="G192" s="22">
        <f>SUM(C192:F192)</f>
        <v>3343.2539370008099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6:G36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465E-0C6F-4489-8885-1663CBD72882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0" t="s">
        <v>1</v>
      </c>
      <c r="D2" s="91"/>
      <c r="E2" s="91"/>
      <c r="F2" s="91"/>
      <c r="G2" s="9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9" t="s">
        <v>7</v>
      </c>
      <c r="C4" s="80"/>
      <c r="D4" s="80"/>
      <c r="E4" s="80"/>
      <c r="F4" s="80"/>
      <c r="G4" s="81"/>
    </row>
    <row r="5" spans="1:7" x14ac:dyDescent="0.25">
      <c r="B5" s="75" t="s">
        <v>8</v>
      </c>
      <c r="C5" s="76"/>
      <c r="D5" s="76"/>
      <c r="E5" s="76"/>
      <c r="F5" s="76"/>
      <c r="G5" s="77"/>
    </row>
    <row r="6" spans="1:7" x14ac:dyDescent="0.25">
      <c r="B6" s="4" t="s">
        <v>9</v>
      </c>
      <c r="C6" s="12">
        <v>55383</v>
      </c>
      <c r="D6" s="12">
        <v>8219</v>
      </c>
      <c r="E6" s="12">
        <v>8823</v>
      </c>
      <c r="F6" s="12">
        <v>10286</v>
      </c>
      <c r="G6" s="12">
        <f>+F6+E6+D6+C6</f>
        <v>82711</v>
      </c>
    </row>
    <row r="7" spans="1:7" x14ac:dyDescent="0.25">
      <c r="B7" s="14" t="s">
        <v>10</v>
      </c>
      <c r="C7" s="12">
        <v>527</v>
      </c>
      <c r="D7" s="12">
        <v>219</v>
      </c>
      <c r="E7" s="12">
        <v>31</v>
      </c>
      <c r="F7" s="12">
        <v>145</v>
      </c>
      <c r="G7" s="12">
        <f>+F7+E7+D7+C7</f>
        <v>922</v>
      </c>
    </row>
    <row r="8" spans="1:7" x14ac:dyDescent="0.25">
      <c r="B8" s="18" t="s">
        <v>11</v>
      </c>
      <c r="C8" s="25">
        <f>SUM(C6:C7)</f>
        <v>55910</v>
      </c>
      <c r="D8" s="25">
        <v>8438</v>
      </c>
      <c r="E8" s="25">
        <v>8854</v>
      </c>
      <c r="F8" s="25">
        <v>10431</v>
      </c>
      <c r="G8" s="25">
        <f>+F8+E8+D8+C8</f>
        <v>83633</v>
      </c>
    </row>
    <row r="9" spans="1:7" x14ac:dyDescent="0.25">
      <c r="B9" s="70"/>
      <c r="C9" s="70"/>
      <c r="D9" s="70"/>
      <c r="E9" s="70"/>
      <c r="F9" s="70"/>
      <c r="G9" s="70"/>
    </row>
    <row r="10" spans="1:7" x14ac:dyDescent="0.25">
      <c r="B10" s="75" t="s">
        <v>12</v>
      </c>
      <c r="C10" s="76"/>
      <c r="D10" s="76"/>
      <c r="E10" s="76"/>
      <c r="F10" s="76"/>
      <c r="G10" s="77"/>
    </row>
    <row r="11" spans="1:7" x14ac:dyDescent="0.25">
      <c r="B11" s="71" t="s">
        <v>13</v>
      </c>
      <c r="C11" s="72"/>
      <c r="D11" s="72"/>
      <c r="E11" s="72"/>
      <c r="F11" s="72"/>
      <c r="G11" s="73"/>
    </row>
    <row r="12" spans="1:7" x14ac:dyDescent="0.25">
      <c r="B12" s="16" t="s">
        <v>14</v>
      </c>
      <c r="C12" s="12">
        <v>870121</v>
      </c>
      <c r="D12" s="12">
        <v>124800</v>
      </c>
      <c r="E12" s="12">
        <v>49912</v>
      </c>
      <c r="F12" s="12">
        <v>0</v>
      </c>
      <c r="G12" s="17">
        <f>SUM(C12:F12)</f>
        <v>1044833</v>
      </c>
    </row>
    <row r="13" spans="1:7" x14ac:dyDescent="0.25">
      <c r="B13" s="16" t="s">
        <v>15</v>
      </c>
      <c r="C13" s="12">
        <v>2421995</v>
      </c>
      <c r="D13" s="12">
        <v>556379</v>
      </c>
      <c r="E13" s="12">
        <v>237625</v>
      </c>
      <c r="F13" s="12">
        <v>0</v>
      </c>
      <c r="G13" s="17">
        <f>SUM(C13:F13)</f>
        <v>3215999</v>
      </c>
    </row>
    <row r="14" spans="1:7" x14ac:dyDescent="0.25">
      <c r="B14" s="18" t="s">
        <v>16</v>
      </c>
      <c r="C14" s="19">
        <v>3292116</v>
      </c>
      <c r="D14" s="19">
        <v>1015007</v>
      </c>
      <c r="E14" s="19">
        <f>SUM(E12:E13)</f>
        <v>287537</v>
      </c>
      <c r="F14" s="19">
        <v>363014</v>
      </c>
      <c r="G14" s="19">
        <f>SUM(C14:F14)</f>
        <v>4957674</v>
      </c>
    </row>
    <row r="15" spans="1:7" x14ac:dyDescent="0.25">
      <c r="B15" s="18" t="s">
        <v>17</v>
      </c>
      <c r="C15" s="19">
        <v>457303</v>
      </c>
      <c r="D15" s="19">
        <v>154838</v>
      </c>
      <c r="E15" s="19">
        <v>3157</v>
      </c>
      <c r="F15" s="19">
        <v>135429</v>
      </c>
      <c r="G15" s="19">
        <f>SUM(C15:F15)</f>
        <v>750727</v>
      </c>
    </row>
    <row r="16" spans="1:7" x14ac:dyDescent="0.25">
      <c r="B16" s="18" t="s">
        <v>18</v>
      </c>
      <c r="C16" s="19">
        <v>3749419</v>
      </c>
      <c r="D16" s="19">
        <v>1169845</v>
      </c>
      <c r="E16" s="19">
        <f>SUM(E14:E15)</f>
        <v>290694</v>
      </c>
      <c r="F16" s="19">
        <v>498443</v>
      </c>
      <c r="G16" s="19">
        <f>SUM(C16:F16)</f>
        <v>5708401</v>
      </c>
    </row>
    <row r="17" spans="2:8" x14ac:dyDescent="0.25">
      <c r="B17" s="70"/>
      <c r="C17" s="70"/>
      <c r="D17" s="70"/>
      <c r="E17" s="70"/>
      <c r="F17" s="70"/>
      <c r="G17" s="70"/>
    </row>
    <row r="18" spans="2:8" x14ac:dyDescent="0.25">
      <c r="B18" s="71" t="s">
        <v>19</v>
      </c>
      <c r="C18" s="72"/>
      <c r="D18" s="72"/>
      <c r="E18" s="72"/>
      <c r="F18" s="72"/>
      <c r="G18" s="73"/>
    </row>
    <row r="19" spans="2:8" x14ac:dyDescent="0.25">
      <c r="B19" s="14" t="s">
        <v>20</v>
      </c>
      <c r="C19" s="12">
        <v>3538</v>
      </c>
      <c r="D19" s="12">
        <v>4</v>
      </c>
      <c r="E19" s="12">
        <v>0</v>
      </c>
      <c r="F19" s="12">
        <v>0</v>
      </c>
      <c r="G19" s="28">
        <f>SUM(C19:F19)</f>
        <v>3542</v>
      </c>
    </row>
    <row r="20" spans="2:8" x14ac:dyDescent="0.25">
      <c r="B20" s="93"/>
      <c r="C20" s="93"/>
      <c r="D20" s="93"/>
      <c r="E20" s="93"/>
      <c r="F20" s="93"/>
      <c r="G20" s="93"/>
    </row>
    <row r="21" spans="2:8" x14ac:dyDescent="0.25">
      <c r="B21" s="18" t="s">
        <v>21</v>
      </c>
      <c r="C21" s="19">
        <f>+C19+C16</f>
        <v>3752957</v>
      </c>
      <c r="D21" s="19">
        <v>1169849</v>
      </c>
      <c r="E21" s="19">
        <v>290694</v>
      </c>
      <c r="F21" s="19">
        <f>F16</f>
        <v>498443</v>
      </c>
      <c r="G21" s="19">
        <f>SUM(C21:F21)</f>
        <v>5711943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398812</v>
      </c>
      <c r="D24" s="19">
        <v>196934</v>
      </c>
      <c r="E24" s="19">
        <v>134626</v>
      </c>
      <c r="F24" s="19">
        <v>676782</v>
      </c>
      <c r="G24" s="19">
        <f>SUM(C24:F24)</f>
        <v>1407154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4151769</v>
      </c>
      <c r="D27" s="19">
        <v>1366783</v>
      </c>
      <c r="E27" s="19">
        <f>+E21+E24</f>
        <v>425320</v>
      </c>
      <c r="F27" s="19">
        <f>+F24+F21</f>
        <v>1175225</v>
      </c>
      <c r="G27" s="19">
        <f>SUM(C27:F27)</f>
        <v>7119097</v>
      </c>
    </row>
    <row r="28" spans="2:8" x14ac:dyDescent="0.25">
      <c r="B28" s="70"/>
      <c r="C28" s="70"/>
      <c r="D28" s="70"/>
      <c r="E28" s="70"/>
      <c r="F28" s="70"/>
      <c r="G28" s="70"/>
      <c r="H28" s="70"/>
    </row>
    <row r="29" spans="2:8" x14ac:dyDescent="0.25">
      <c r="B29" s="75" t="s">
        <v>26</v>
      </c>
      <c r="C29" s="76"/>
      <c r="D29" s="76"/>
      <c r="E29" s="76"/>
      <c r="F29" s="76"/>
      <c r="G29" s="77"/>
    </row>
    <row r="30" spans="2:8" x14ac:dyDescent="0.25">
      <c r="B30" s="14" t="s">
        <v>27</v>
      </c>
      <c r="C30" s="28">
        <v>1263572</v>
      </c>
      <c r="D30" s="28">
        <v>131081</v>
      </c>
      <c r="E30" s="28">
        <v>80972</v>
      </c>
      <c r="F30" s="28">
        <v>200386</v>
      </c>
      <c r="G30" s="28">
        <f>SUM(C30:F30)</f>
        <v>1676011</v>
      </c>
    </row>
    <row r="31" spans="2:8" x14ac:dyDescent="0.25">
      <c r="B31" s="70"/>
      <c r="C31" s="70"/>
      <c r="D31" s="70"/>
      <c r="E31" s="70"/>
      <c r="F31" s="70"/>
      <c r="G31" s="70"/>
      <c r="H31" s="70"/>
    </row>
    <row r="32" spans="2:8" x14ac:dyDescent="0.25">
      <c r="B32" s="75" t="s">
        <v>28</v>
      </c>
      <c r="C32" s="76"/>
      <c r="D32" s="76"/>
      <c r="E32" s="76"/>
      <c r="F32" s="76"/>
      <c r="G32" s="77"/>
    </row>
    <row r="33" spans="2:9" x14ac:dyDescent="0.25">
      <c r="B33" s="14" t="s">
        <v>29</v>
      </c>
      <c r="C33" s="28">
        <v>3659032429151</v>
      </c>
      <c r="D33" s="28">
        <v>661163583447</v>
      </c>
      <c r="E33" s="28">
        <v>246243789238</v>
      </c>
      <c r="F33" s="28">
        <v>434287695165</v>
      </c>
      <c r="G33" s="28">
        <f>SUM(C33:F33)</f>
        <v>5000727497001</v>
      </c>
    </row>
    <row r="34" spans="2:9" x14ac:dyDescent="0.25">
      <c r="B34" s="14" t="s">
        <v>30</v>
      </c>
      <c r="C34" s="28">
        <v>163734598865</v>
      </c>
      <c r="D34" s="28">
        <v>68206982031</v>
      </c>
      <c r="E34" s="28">
        <v>38864474900</v>
      </c>
      <c r="F34" s="28">
        <v>202021863365</v>
      </c>
      <c r="G34" s="28">
        <f>SUM(C34:F34)</f>
        <v>472827919161</v>
      </c>
    </row>
    <row r="35" spans="2:9" x14ac:dyDescent="0.25">
      <c r="B35" s="41" t="s">
        <v>31</v>
      </c>
      <c r="C35" s="42">
        <v>3822767028016</v>
      </c>
      <c r="D35" s="42">
        <v>729370565478</v>
      </c>
      <c r="E35" s="42">
        <v>285108264138</v>
      </c>
      <c r="F35" s="42">
        <v>636309558530</v>
      </c>
      <c r="G35" s="42">
        <f>SUM(C35:F35)</f>
        <v>5473555416162</v>
      </c>
    </row>
    <row r="36" spans="2:9" x14ac:dyDescent="0.25">
      <c r="B36" s="94" t="s">
        <v>32</v>
      </c>
      <c r="C36" s="94"/>
      <c r="D36" s="94"/>
      <c r="E36" s="94"/>
      <c r="F36" s="94"/>
      <c r="G36" s="94"/>
      <c r="H36" s="94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79" t="s">
        <v>33</v>
      </c>
      <c r="C38" s="80"/>
      <c r="D38" s="80"/>
      <c r="E38" s="80"/>
      <c r="F38" s="80"/>
      <c r="G38" s="81"/>
    </row>
    <row r="39" spans="2:9" x14ac:dyDescent="0.25">
      <c r="B39" s="75" t="s">
        <v>34</v>
      </c>
      <c r="C39" s="76"/>
      <c r="D39" s="76"/>
      <c r="E39" s="76"/>
      <c r="F39" s="76"/>
      <c r="G39" s="77"/>
    </row>
    <row r="40" spans="2:9" x14ac:dyDescent="0.25">
      <c r="B40" s="14" t="s">
        <v>35</v>
      </c>
      <c r="C40" s="28">
        <v>613225</v>
      </c>
      <c r="D40" s="28">
        <v>110592</v>
      </c>
      <c r="E40" s="28">
        <v>41376</v>
      </c>
      <c r="F40" s="28">
        <v>62852</v>
      </c>
      <c r="G40" s="28">
        <f>SUM(C40:F40)</f>
        <v>828045</v>
      </c>
      <c r="H40" s="7"/>
      <c r="I40" s="7"/>
    </row>
    <row r="41" spans="2:9" x14ac:dyDescent="0.25">
      <c r="B41" s="14" t="s">
        <v>36</v>
      </c>
      <c r="C41" s="28">
        <f>2391513577/1000000</f>
        <v>2391.5135770000002</v>
      </c>
      <c r="D41" s="28">
        <v>918.02535399999999</v>
      </c>
      <c r="E41" s="28">
        <v>334</v>
      </c>
      <c r="F41" s="12">
        <v>499.09434399999998</v>
      </c>
      <c r="G41" s="11">
        <f>SUM(C41:F41)</f>
        <v>4142.6332750000001</v>
      </c>
      <c r="H41" s="7"/>
      <c r="I41" s="7"/>
    </row>
    <row r="42" spans="2:9" x14ac:dyDescent="0.25">
      <c r="B42" s="70"/>
      <c r="C42" s="70"/>
      <c r="D42" s="70"/>
      <c r="E42" s="70"/>
      <c r="F42" s="70"/>
      <c r="G42" s="70"/>
      <c r="H42" s="70"/>
      <c r="I42" s="7"/>
    </row>
    <row r="43" spans="2:9" x14ac:dyDescent="0.25">
      <c r="B43" s="69" t="s">
        <v>37</v>
      </c>
      <c r="C43" s="69"/>
      <c r="D43" s="69"/>
      <c r="E43" s="69"/>
      <c r="F43" s="69"/>
      <c r="G43" s="69"/>
      <c r="I43" s="7"/>
    </row>
    <row r="44" spans="2:9" x14ac:dyDescent="0.25">
      <c r="B44" s="14" t="s">
        <v>38</v>
      </c>
      <c r="C44" s="28">
        <v>2</v>
      </c>
      <c r="D44" s="28">
        <v>8</v>
      </c>
      <c r="E44" s="28">
        <v>2</v>
      </c>
      <c r="F44" s="28">
        <v>2</v>
      </c>
      <c r="G44" s="28">
        <f>SUM(C44:F44)</f>
        <v>14</v>
      </c>
      <c r="H44" s="7"/>
      <c r="I44" s="7"/>
    </row>
    <row r="45" spans="2:9" x14ac:dyDescent="0.25">
      <c r="B45" s="14" t="s">
        <v>39</v>
      </c>
      <c r="C45" s="28">
        <f>4810365/1000000</f>
        <v>4.810365</v>
      </c>
      <c r="D45" s="28">
        <v>9.5363000000000003E-2</v>
      </c>
      <c r="E45" s="28">
        <v>8.0000000000000002E-3</v>
      </c>
      <c r="F45" s="28">
        <v>0.121561</v>
      </c>
      <c r="G45" s="11">
        <f>SUM(C45:F45)</f>
        <v>5.0352889999999997</v>
      </c>
      <c r="H45" s="7"/>
      <c r="I45" s="7"/>
    </row>
    <row r="46" spans="2:9" x14ac:dyDescent="0.25">
      <c r="B46" s="70"/>
      <c r="C46" s="70"/>
      <c r="D46" s="70"/>
      <c r="E46" s="70"/>
      <c r="F46" s="70"/>
      <c r="G46" s="70"/>
      <c r="H46" s="70"/>
      <c r="I46" s="7"/>
    </row>
    <row r="47" spans="2:9" x14ac:dyDescent="0.25">
      <c r="B47" s="69" t="s">
        <v>40</v>
      </c>
      <c r="C47" s="69"/>
      <c r="D47" s="69"/>
      <c r="E47" s="69"/>
      <c r="F47" s="69"/>
      <c r="G47" s="69"/>
      <c r="I47" s="7"/>
    </row>
    <row r="48" spans="2:9" x14ac:dyDescent="0.25">
      <c r="B48" s="14" t="s">
        <v>41</v>
      </c>
      <c r="C48" s="28">
        <v>107791</v>
      </c>
      <c r="D48" s="28">
        <v>64862</v>
      </c>
      <c r="E48" s="28">
        <v>13923</v>
      </c>
      <c r="F48" s="28">
        <v>55955</v>
      </c>
      <c r="G48" s="28">
        <f>SUM(C48:F48)</f>
        <v>242531</v>
      </c>
      <c r="H48" s="7"/>
      <c r="I48" s="7"/>
    </row>
    <row r="49" spans="2:9" x14ac:dyDescent="0.25">
      <c r="B49" s="14" t="s">
        <v>42</v>
      </c>
      <c r="C49" s="28">
        <v>75402.964170000007</v>
      </c>
      <c r="D49" s="28">
        <v>18602</v>
      </c>
      <c r="E49" s="28">
        <f>10102466/1000</f>
        <v>10102.466</v>
      </c>
      <c r="F49" s="12">
        <v>10484.074891</v>
      </c>
      <c r="G49" s="11">
        <f>SUM(C49:F49)</f>
        <v>114591.505061</v>
      </c>
      <c r="H49" s="7"/>
      <c r="I49" s="7"/>
    </row>
    <row r="50" spans="2:9" x14ac:dyDescent="0.25">
      <c r="B50" s="70"/>
      <c r="C50" s="70"/>
      <c r="D50" s="70"/>
      <c r="E50" s="70"/>
      <c r="F50" s="70"/>
      <c r="G50" s="70"/>
      <c r="H50" s="70"/>
    </row>
    <row r="51" spans="2:9" ht="21" x14ac:dyDescent="0.35">
      <c r="B51" s="79" t="s">
        <v>43</v>
      </c>
      <c r="C51" s="80"/>
      <c r="D51" s="80"/>
      <c r="E51" s="80"/>
      <c r="F51" s="80"/>
      <c r="G51" s="81"/>
    </row>
    <row r="52" spans="2:9" x14ac:dyDescent="0.25">
      <c r="B52" s="89"/>
      <c r="C52" s="89"/>
      <c r="D52" s="89"/>
      <c r="E52" s="89"/>
      <c r="F52" s="89"/>
      <c r="G52" s="89"/>
      <c r="H52" s="89"/>
    </row>
    <row r="53" spans="2:9" x14ac:dyDescent="0.25">
      <c r="B53" s="69" t="s">
        <v>44</v>
      </c>
      <c r="C53" s="69"/>
      <c r="D53" s="69"/>
      <c r="E53" s="69"/>
      <c r="F53" s="69"/>
      <c r="G53" s="69"/>
    </row>
    <row r="54" spans="2:9" x14ac:dyDescent="0.25">
      <c r="B54" s="74" t="s">
        <v>45</v>
      </c>
      <c r="C54" s="74"/>
      <c r="D54" s="74"/>
      <c r="E54" s="74"/>
      <c r="F54" s="74"/>
      <c r="G54" s="74"/>
    </row>
    <row r="55" spans="2:9" x14ac:dyDescent="0.25">
      <c r="B55" s="14" t="s">
        <v>46</v>
      </c>
      <c r="C55" s="12">
        <v>77543</v>
      </c>
      <c r="D55" s="12">
        <v>4633</v>
      </c>
      <c r="E55" s="12">
        <v>1029</v>
      </c>
      <c r="F55" s="12">
        <v>5252</v>
      </c>
      <c r="G55" s="28">
        <f t="shared" ref="G55:G71" si="0">SUM(C55:F55)</f>
        <v>88457</v>
      </c>
    </row>
    <row r="56" spans="2:9" x14ac:dyDescent="0.25">
      <c r="B56" s="14" t="s">
        <v>47</v>
      </c>
      <c r="C56" s="12">
        <v>48281.396824000003</v>
      </c>
      <c r="D56" s="12">
        <v>6758.5732549999902</v>
      </c>
      <c r="E56" s="12">
        <v>1563</v>
      </c>
      <c r="F56" s="12">
        <v>12190</v>
      </c>
      <c r="G56" s="28">
        <f t="shared" si="0"/>
        <v>68792.970078999992</v>
      </c>
    </row>
    <row r="57" spans="2:9" x14ac:dyDescent="0.25">
      <c r="B57" s="14" t="s">
        <v>48</v>
      </c>
      <c r="C57" s="12">
        <v>12.2790838631469</v>
      </c>
      <c r="D57" s="12">
        <v>39</v>
      </c>
      <c r="E57" s="12">
        <v>22</v>
      </c>
      <c r="F57" s="12">
        <v>31</v>
      </c>
      <c r="G57" s="28">
        <f>AVERAGE(C57:F57)</f>
        <v>26.069770965786724</v>
      </c>
    </row>
    <row r="58" spans="2:9" x14ac:dyDescent="0.25">
      <c r="B58" s="14" t="s">
        <v>49</v>
      </c>
      <c r="C58" s="12">
        <v>876651</v>
      </c>
      <c r="D58" s="12">
        <v>136524</v>
      </c>
      <c r="E58" s="63">
        <v>50960</v>
      </c>
      <c r="F58" s="12">
        <v>72942</v>
      </c>
      <c r="G58" s="28">
        <f t="shared" si="0"/>
        <v>1137077</v>
      </c>
    </row>
    <row r="59" spans="2:9" x14ac:dyDescent="0.25">
      <c r="B59" s="14" t="s">
        <v>50</v>
      </c>
      <c r="C59" s="12">
        <v>1735177.0624869999</v>
      </c>
      <c r="D59" s="12">
        <v>260825.85282500001</v>
      </c>
      <c r="E59" s="63">
        <v>113289.83562899999</v>
      </c>
      <c r="F59" s="12">
        <v>159460</v>
      </c>
      <c r="G59" s="11">
        <f t="shared" si="0"/>
        <v>2268752.7509409999</v>
      </c>
    </row>
    <row r="60" spans="2:9" x14ac:dyDescent="0.25">
      <c r="B60" s="74" t="s">
        <v>51</v>
      </c>
      <c r="C60" s="74"/>
      <c r="D60" s="74"/>
      <c r="E60" s="74"/>
      <c r="F60" s="74"/>
      <c r="G60" s="7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4" t="s">
        <v>52</v>
      </c>
      <c r="C66" s="74"/>
      <c r="D66" s="74"/>
      <c r="E66" s="74"/>
      <c r="F66" s="74"/>
      <c r="G66" s="74"/>
    </row>
    <row r="67" spans="2:8" x14ac:dyDescent="0.25">
      <c r="B67" s="14" t="s">
        <v>46</v>
      </c>
      <c r="C67" s="12">
        <v>6834</v>
      </c>
      <c r="D67" s="12">
        <v>1836</v>
      </c>
      <c r="E67" s="12">
        <v>1039</v>
      </c>
      <c r="F67" s="12">
        <v>12812</v>
      </c>
      <c r="G67" s="28">
        <f t="shared" si="0"/>
        <v>22521</v>
      </c>
    </row>
    <row r="68" spans="2:8" x14ac:dyDescent="0.25">
      <c r="B68" s="14" t="s">
        <v>47</v>
      </c>
      <c r="C68" s="12">
        <v>5591.6436970000004</v>
      </c>
      <c r="D68" s="12">
        <v>1976.20071100001</v>
      </c>
      <c r="E68" s="12">
        <v>1138</v>
      </c>
      <c r="F68" s="12">
        <v>16676</v>
      </c>
      <c r="G68" s="28">
        <f t="shared" si="0"/>
        <v>25381.844408000012</v>
      </c>
    </row>
    <row r="69" spans="2:8" x14ac:dyDescent="0.25">
      <c r="B69" s="14" t="s">
        <v>48</v>
      </c>
      <c r="C69" s="12">
        <v>38.827333918642097</v>
      </c>
      <c r="D69" s="12">
        <v>55</v>
      </c>
      <c r="E69" s="12">
        <v>49</v>
      </c>
      <c r="F69" s="12">
        <v>39</v>
      </c>
      <c r="G69" s="28">
        <f>AVERAGE(C69:F69)</f>
        <v>45.456833479660524</v>
      </c>
    </row>
    <row r="70" spans="2:8" x14ac:dyDescent="0.25">
      <c r="B70" s="14" t="s">
        <v>49</v>
      </c>
      <c r="C70" s="12">
        <v>126109</v>
      </c>
      <c r="D70" s="12">
        <v>87110</v>
      </c>
      <c r="E70" s="12">
        <v>55448</v>
      </c>
      <c r="F70" s="12">
        <v>257608</v>
      </c>
      <c r="G70" s="28">
        <f t="shared" si="0"/>
        <v>526275</v>
      </c>
    </row>
    <row r="71" spans="2:8" x14ac:dyDescent="0.25">
      <c r="B71" s="14" t="s">
        <v>50</v>
      </c>
      <c r="C71" s="12">
        <v>124893.68599500001</v>
      </c>
      <c r="D71" s="12">
        <v>96410.246975999995</v>
      </c>
      <c r="E71" s="12">
        <v>57496.348946999999</v>
      </c>
      <c r="F71" s="12">
        <v>228937</v>
      </c>
      <c r="G71" s="11">
        <f t="shared" si="0"/>
        <v>507737.28191800002</v>
      </c>
    </row>
    <row r="72" spans="2:8" x14ac:dyDescent="0.25">
      <c r="B72" s="83" t="s">
        <v>53</v>
      </c>
      <c r="C72" s="84"/>
      <c r="D72" s="84"/>
      <c r="E72" s="84"/>
      <c r="F72" s="84"/>
      <c r="G72" s="85"/>
    </row>
    <row r="73" spans="2:8" x14ac:dyDescent="0.25">
      <c r="B73" s="18" t="s">
        <v>54</v>
      </c>
      <c r="C73" s="19">
        <f>+C55+C67</f>
        <v>84377</v>
      </c>
      <c r="D73" s="19">
        <v>6469</v>
      </c>
      <c r="E73" s="19">
        <v>2068</v>
      </c>
      <c r="F73" s="19">
        <v>18064</v>
      </c>
      <c r="G73" s="19">
        <f>SUM(C73:F73)</f>
        <v>110978</v>
      </c>
    </row>
    <row r="74" spans="2:8" x14ac:dyDescent="0.25">
      <c r="B74" s="18" t="s">
        <v>47</v>
      </c>
      <c r="C74" s="19">
        <f>+C56+C68</f>
        <v>53873.040521000003</v>
      </c>
      <c r="D74" s="19">
        <v>8734.7739660000007</v>
      </c>
      <c r="E74" s="19">
        <v>2701</v>
      </c>
      <c r="F74" s="19">
        <v>28866</v>
      </c>
      <c r="G74" s="22">
        <f>SUM(C74:F74)</f>
        <v>94174.814486999996</v>
      </c>
    </row>
    <row r="75" spans="2:8" x14ac:dyDescent="0.25">
      <c r="B75" s="18" t="s">
        <v>48</v>
      </c>
      <c r="C75" s="19">
        <v>14.429323156784401</v>
      </c>
      <c r="D75" s="19">
        <v>31.333333333333332</v>
      </c>
      <c r="E75" s="19">
        <v>71</v>
      </c>
      <c r="F75" s="19">
        <v>35</v>
      </c>
      <c r="G75" s="19">
        <f>AVERAGE(C75:F75)</f>
        <v>37.940664122529434</v>
      </c>
    </row>
    <row r="76" spans="2:8" x14ac:dyDescent="0.25">
      <c r="B76" s="18" t="s">
        <v>49</v>
      </c>
      <c r="C76" s="19">
        <f>+C58+C70</f>
        <v>1002760</v>
      </c>
      <c r="D76" s="19">
        <v>223634</v>
      </c>
      <c r="E76" s="19">
        <v>106408</v>
      </c>
      <c r="F76" s="19">
        <v>330550</v>
      </c>
      <c r="G76" s="19">
        <f>SUM(C76:F76)</f>
        <v>1663352</v>
      </c>
    </row>
    <row r="77" spans="2:8" x14ac:dyDescent="0.25">
      <c r="B77" s="18" t="s">
        <v>50</v>
      </c>
      <c r="C77" s="19">
        <f>+C59+C71</f>
        <v>1860070.7484819998</v>
      </c>
      <c r="D77" s="19">
        <v>357236.09980099997</v>
      </c>
      <c r="E77" s="19">
        <v>170786.184576</v>
      </c>
      <c r="F77" s="19">
        <v>388397</v>
      </c>
      <c r="G77" s="22">
        <f>SUM(C77:F77)</f>
        <v>2776490.0328589999</v>
      </c>
    </row>
    <row r="78" spans="2:8" x14ac:dyDescent="0.25">
      <c r="B78" s="70"/>
      <c r="C78" s="70"/>
      <c r="D78" s="70"/>
      <c r="E78" s="70"/>
      <c r="F78" s="70"/>
      <c r="G78" s="70"/>
      <c r="H78" s="70"/>
    </row>
    <row r="79" spans="2:8" x14ac:dyDescent="0.25">
      <c r="B79" s="75" t="s">
        <v>55</v>
      </c>
      <c r="C79" s="76"/>
      <c r="D79" s="76"/>
      <c r="E79" s="76"/>
      <c r="F79" s="76"/>
      <c r="G79" s="77"/>
    </row>
    <row r="80" spans="2:8" x14ac:dyDescent="0.25">
      <c r="B80" s="71" t="s">
        <v>45</v>
      </c>
      <c r="C80" s="72"/>
      <c r="D80" s="72"/>
      <c r="E80" s="72"/>
      <c r="F80" s="72"/>
      <c r="G80" s="73"/>
    </row>
    <row r="81" spans="2:7" x14ac:dyDescent="0.25">
      <c r="B81" s="14" t="s">
        <v>46</v>
      </c>
      <c r="C81" s="12">
        <v>0</v>
      </c>
      <c r="D81" s="12">
        <v>0</v>
      </c>
      <c r="E81" s="12">
        <v>0</v>
      </c>
      <c r="F81" s="12">
        <v>0</v>
      </c>
      <c r="G81" s="20">
        <f>SUM(C81:F81)</f>
        <v>0</v>
      </c>
    </row>
    <row r="82" spans="2:7" x14ac:dyDescent="0.25">
      <c r="B82" s="14" t="s">
        <v>47</v>
      </c>
      <c r="C82" s="12">
        <v>0</v>
      </c>
      <c r="D82" s="12">
        <v>0</v>
      </c>
      <c r="E82" s="12">
        <v>0</v>
      </c>
      <c r="F82" s="12">
        <v>0</v>
      </c>
      <c r="G82" s="24">
        <f>SUM(C82:F82)</f>
        <v>0</v>
      </c>
    </row>
    <row r="83" spans="2:7" x14ac:dyDescent="0.25">
      <c r="B83" s="14" t="s">
        <v>48</v>
      </c>
      <c r="C83" s="12">
        <v>0</v>
      </c>
      <c r="D83" s="12">
        <v>0</v>
      </c>
      <c r="E83" s="12">
        <v>0</v>
      </c>
      <c r="F83" s="12">
        <v>0</v>
      </c>
      <c r="G83" s="24">
        <f>AVERAGE(C83:F83)</f>
        <v>0</v>
      </c>
    </row>
    <row r="84" spans="2:7" x14ac:dyDescent="0.25">
      <c r="B84" s="14" t="s">
        <v>49</v>
      </c>
      <c r="C84" s="12">
        <v>1023</v>
      </c>
      <c r="D84" s="12">
        <v>120</v>
      </c>
      <c r="E84" s="12">
        <v>6</v>
      </c>
      <c r="F84" s="12">
        <v>97</v>
      </c>
      <c r="G84" s="24">
        <f>SUM(C84:F84)</f>
        <v>1246</v>
      </c>
    </row>
    <row r="85" spans="2:7" x14ac:dyDescent="0.25">
      <c r="B85" s="14" t="s">
        <v>50</v>
      </c>
      <c r="C85" s="12">
        <v>22214.398033000001</v>
      </c>
      <c r="D85" s="12">
        <v>1504</v>
      </c>
      <c r="E85" s="12">
        <v>79</v>
      </c>
      <c r="F85" s="12">
        <v>1812.5866209999999</v>
      </c>
      <c r="G85" s="11">
        <f>SUM(C85:F85)</f>
        <v>25609.984654</v>
      </c>
    </row>
    <row r="86" spans="2:7" x14ac:dyDescent="0.25">
      <c r="B86" s="71" t="s">
        <v>51</v>
      </c>
      <c r="C86" s="72"/>
      <c r="D86" s="72"/>
      <c r="E86" s="72"/>
      <c r="F86" s="72"/>
      <c r="G86" s="7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1" t="s">
        <v>52</v>
      </c>
      <c r="C92" s="72"/>
      <c r="D92" s="72"/>
      <c r="E92" s="72"/>
      <c r="F92" s="72"/>
      <c r="G92" s="73"/>
    </row>
    <row r="93" spans="2:7" x14ac:dyDescent="0.25">
      <c r="B93" s="14" t="s">
        <v>46</v>
      </c>
      <c r="C93" s="12">
        <v>0</v>
      </c>
      <c r="D93" s="12">
        <v>0</v>
      </c>
      <c r="E93" s="12">
        <v>0</v>
      </c>
      <c r="F93" s="12">
        <v>0</v>
      </c>
      <c r="G93" s="28">
        <f>SUM(C93:F93)</f>
        <v>0</v>
      </c>
    </row>
    <row r="94" spans="2:7" x14ac:dyDescent="0.25">
      <c r="B94" s="14" t="s">
        <v>47</v>
      </c>
      <c r="C94" s="12">
        <v>0</v>
      </c>
      <c r="D94" s="12">
        <v>0</v>
      </c>
      <c r="E94" s="12">
        <v>0</v>
      </c>
      <c r="F94" s="12">
        <v>0</v>
      </c>
      <c r="G94" s="28">
        <f>SUM(C94:F94)</f>
        <v>0</v>
      </c>
    </row>
    <row r="95" spans="2:7" x14ac:dyDescent="0.25">
      <c r="B95" s="14" t="s">
        <v>48</v>
      </c>
      <c r="C95" s="12">
        <v>0</v>
      </c>
      <c r="D95" s="12">
        <v>0</v>
      </c>
      <c r="E95" s="12">
        <v>0</v>
      </c>
      <c r="F95" s="12">
        <v>0</v>
      </c>
      <c r="G95" s="28">
        <f>AVERAGE(C95:F95)</f>
        <v>0</v>
      </c>
    </row>
    <row r="96" spans="2:7" x14ac:dyDescent="0.25">
      <c r="B96" s="14" t="s">
        <v>49</v>
      </c>
      <c r="C96" s="12">
        <v>12</v>
      </c>
      <c r="D96" s="12">
        <v>0</v>
      </c>
      <c r="E96" s="12">
        <v>0</v>
      </c>
      <c r="F96" s="12">
        <v>7</v>
      </c>
      <c r="G96" s="28">
        <f>SUM(C96:F96)</f>
        <v>19</v>
      </c>
    </row>
    <row r="97" spans="2:8" x14ac:dyDescent="0.25">
      <c r="B97" s="14" t="s">
        <v>50</v>
      </c>
      <c r="C97" s="12">
        <v>190.11745300000001</v>
      </c>
      <c r="D97" s="12">
        <v>0</v>
      </c>
      <c r="E97" s="12">
        <v>0</v>
      </c>
      <c r="F97" s="12">
        <v>89.392167999999998</v>
      </c>
      <c r="G97" s="11">
        <f>SUM(C97:F97)</f>
        <v>279.50962100000004</v>
      </c>
    </row>
    <row r="98" spans="2:8" x14ac:dyDescent="0.25">
      <c r="B98" s="83" t="s">
        <v>56</v>
      </c>
      <c r="C98" s="84"/>
      <c r="D98" s="84"/>
      <c r="E98" s="84"/>
      <c r="F98" s="84"/>
      <c r="G98" s="85"/>
    </row>
    <row r="99" spans="2:8" x14ac:dyDescent="0.25">
      <c r="B99" s="18" t="s">
        <v>46</v>
      </c>
      <c r="C99" s="19">
        <v>0</v>
      </c>
      <c r="D99" s="19">
        <v>0</v>
      </c>
      <c r="E99" s="19">
        <v>0</v>
      </c>
      <c r="F99" s="19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1035</v>
      </c>
      <c r="D102" s="19">
        <v>120</v>
      </c>
      <c r="E102" s="19">
        <f>+E84</f>
        <v>6</v>
      </c>
      <c r="F102" s="19">
        <f>+F96+F84</f>
        <v>104</v>
      </c>
      <c r="G102" s="19">
        <f>SUM(C102:F102)</f>
        <v>1265</v>
      </c>
    </row>
    <row r="103" spans="2:8" x14ac:dyDescent="0.25">
      <c r="B103" s="18" t="s">
        <v>50</v>
      </c>
      <c r="C103" s="19">
        <f>+C97+C85</f>
        <v>22404.515486</v>
      </c>
      <c r="D103" s="19">
        <v>1504</v>
      </c>
      <c r="E103" s="19">
        <f>+E85</f>
        <v>79</v>
      </c>
      <c r="F103" s="19">
        <f>+F85+F97</f>
        <v>1901.978789</v>
      </c>
      <c r="G103" s="22">
        <f>SUM(C103:F103)</f>
        <v>25889.494275000001</v>
      </c>
    </row>
    <row r="104" spans="2:8" x14ac:dyDescent="0.25">
      <c r="B104" s="70"/>
      <c r="C104" s="70"/>
      <c r="D104" s="70"/>
      <c r="E104" s="70"/>
      <c r="F104" s="70"/>
      <c r="G104" s="70"/>
      <c r="H104" s="70"/>
    </row>
    <row r="105" spans="2:8" x14ac:dyDescent="0.25">
      <c r="B105" s="69" t="s">
        <v>57</v>
      </c>
      <c r="C105" s="69"/>
      <c r="D105" s="69"/>
      <c r="E105" s="69"/>
      <c r="F105" s="69"/>
      <c r="G105" s="69"/>
    </row>
    <row r="106" spans="2:8" x14ac:dyDescent="0.25">
      <c r="B106" s="74" t="s">
        <v>58</v>
      </c>
      <c r="C106" s="74"/>
      <c r="D106" s="74"/>
      <c r="E106" s="74"/>
      <c r="F106" s="74"/>
      <c r="G106" s="74"/>
    </row>
    <row r="107" spans="2:8" x14ac:dyDescent="0.25">
      <c r="B107" s="14" t="s">
        <v>59</v>
      </c>
      <c r="C107" s="13">
        <v>2.4394269022600135</v>
      </c>
      <c r="D107" s="13">
        <v>2.4476688867744887</v>
      </c>
      <c r="E107" s="14">
        <v>2.64</v>
      </c>
      <c r="F107" s="13">
        <v>2.4900000000000002</v>
      </c>
      <c r="G107" s="13">
        <f>AVERAGE(C107:F107)</f>
        <v>2.5042739472586257</v>
      </c>
    </row>
    <row r="108" spans="2:8" x14ac:dyDescent="0.25">
      <c r="B108" s="14" t="s">
        <v>60</v>
      </c>
      <c r="C108" s="13">
        <v>2.2955682053402722</v>
      </c>
      <c r="D108" s="13">
        <v>2.4500000000000308</v>
      </c>
      <c r="E108" s="14">
        <v>2.74</v>
      </c>
      <c r="F108" s="13">
        <v>2.4900000000000002</v>
      </c>
      <c r="G108" s="13">
        <f>AVERAGE(C108:F108)</f>
        <v>2.493892051335076</v>
      </c>
    </row>
    <row r="109" spans="2:8" x14ac:dyDescent="0.25">
      <c r="B109" s="14" t="s">
        <v>61</v>
      </c>
      <c r="C109" s="13">
        <v>2.2136118014762451</v>
      </c>
      <c r="D109" s="13">
        <v>2.6102118003025523</v>
      </c>
      <c r="E109" s="14">
        <v>2.85</v>
      </c>
      <c r="F109" s="13">
        <v>2.4500000000000002</v>
      </c>
      <c r="G109" s="13">
        <f>AVERAGE(C109:F109)</f>
        <v>2.5309559004446998</v>
      </c>
    </row>
    <row r="110" spans="2:8" x14ac:dyDescent="0.25">
      <c r="B110" s="74" t="s">
        <v>62</v>
      </c>
      <c r="C110" s="74"/>
      <c r="D110" s="74"/>
      <c r="E110" s="74"/>
      <c r="F110" s="74"/>
      <c r="G110" s="74"/>
    </row>
    <row r="111" spans="2:8" x14ac:dyDescent="0.25">
      <c r="B111" s="14" t="s">
        <v>59</v>
      </c>
      <c r="C111" s="13">
        <v>2.3000000000000003</v>
      </c>
      <c r="D111" s="13">
        <v>1.5999999999999999</v>
      </c>
      <c r="E111" s="14">
        <v>1.6</v>
      </c>
      <c r="F111" s="14">
        <v>1.99</v>
      </c>
      <c r="G111" s="13">
        <f>AVERAGE(C111:F111)</f>
        <v>1.8725000000000001</v>
      </c>
    </row>
    <row r="112" spans="2:8" x14ac:dyDescent="0.25">
      <c r="B112" s="14" t="s">
        <v>60</v>
      </c>
      <c r="C112" s="13">
        <v>2.0999999999999979</v>
      </c>
      <c r="D112" s="13">
        <v>2.1599999999999993</v>
      </c>
      <c r="E112" s="14">
        <v>2.1</v>
      </c>
      <c r="F112" s="13">
        <v>2.14</v>
      </c>
      <c r="G112" s="13">
        <f>AVERAGE(C112:F112)</f>
        <v>2.1249999999999996</v>
      </c>
    </row>
    <row r="113" spans="2:9" x14ac:dyDescent="0.25">
      <c r="B113" s="14" t="s">
        <v>61</v>
      </c>
      <c r="C113" s="13">
        <v>2.149844236760118</v>
      </c>
      <c r="D113" s="13">
        <v>2.1600000000000028</v>
      </c>
      <c r="E113" s="14">
        <v>2.4900000000000002</v>
      </c>
      <c r="F113" s="13">
        <v>2.149844236760118</v>
      </c>
      <c r="G113" s="13">
        <f>AVERAGE(C113:F113)</f>
        <v>2.23742211838006</v>
      </c>
    </row>
    <row r="114" spans="2:9" x14ac:dyDescent="0.25">
      <c r="B114" s="70"/>
      <c r="C114" s="70"/>
      <c r="D114" s="70"/>
      <c r="E114" s="70"/>
      <c r="F114" s="70"/>
      <c r="G114" s="70"/>
      <c r="H114" s="70"/>
      <c r="I114" s="70"/>
    </row>
    <row r="115" spans="2:9" x14ac:dyDescent="0.25">
      <c r="B115" s="74" t="s">
        <v>63</v>
      </c>
      <c r="C115" s="74"/>
      <c r="D115" s="74"/>
      <c r="E115" s="74"/>
      <c r="F115" s="74"/>
      <c r="G115" s="74"/>
    </row>
    <row r="116" spans="2:9" x14ac:dyDescent="0.25">
      <c r="B116" s="14" t="s">
        <v>59</v>
      </c>
      <c r="C116" s="13">
        <v>1.5132844932844993</v>
      </c>
      <c r="D116" s="13">
        <v>1.7900000000000023</v>
      </c>
      <c r="E116" s="14">
        <v>1.84</v>
      </c>
      <c r="F116" s="13">
        <v>1.7824472573839727</v>
      </c>
      <c r="G116" s="13">
        <f>AVERAGE(C116:F116)</f>
        <v>1.7314329376671185</v>
      </c>
    </row>
    <row r="117" spans="2:9" x14ac:dyDescent="0.25">
      <c r="B117" s="14" t="s">
        <v>60</v>
      </c>
      <c r="C117" s="13">
        <v>1.7572429638139639</v>
      </c>
      <c r="D117" s="13">
        <v>1.7824472573839727</v>
      </c>
      <c r="E117" s="14">
        <v>1.84</v>
      </c>
      <c r="F117" s="13">
        <v>1.7824472573839727</v>
      </c>
      <c r="G117" s="13">
        <f>AVERAGE(C117:F117)</f>
        <v>1.7905343696454774</v>
      </c>
    </row>
    <row r="118" spans="2:9" x14ac:dyDescent="0.25">
      <c r="B118" s="14" t="s">
        <v>61</v>
      </c>
      <c r="C118" s="13">
        <v>1.7402170497527314</v>
      </c>
      <c r="D118" s="13">
        <v>1.7886434255399462</v>
      </c>
      <c r="E118" s="14">
        <v>2.13</v>
      </c>
      <c r="F118" s="14">
        <v>1.95</v>
      </c>
      <c r="G118" s="13">
        <f>AVERAGE(C118:F118)</f>
        <v>1.9022151188231693</v>
      </c>
    </row>
    <row r="119" spans="2:9" x14ac:dyDescent="0.25">
      <c r="B119" s="71" t="s">
        <v>64</v>
      </c>
      <c r="C119" s="72"/>
      <c r="D119" s="72"/>
      <c r="E119" s="72"/>
      <c r="F119" s="72"/>
      <c r="G119" s="73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4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1.85</v>
      </c>
      <c r="F122" s="14">
        <v>1.69</v>
      </c>
      <c r="G122" s="13">
        <f>AVERAGE(C122:F122)</f>
        <v>1.6</v>
      </c>
    </row>
    <row r="123" spans="2:9" x14ac:dyDescent="0.25">
      <c r="B123" s="70"/>
      <c r="C123" s="70"/>
      <c r="D123" s="70"/>
      <c r="E123" s="70"/>
      <c r="F123" s="70"/>
      <c r="G123" s="70"/>
      <c r="H123" s="70"/>
    </row>
    <row r="124" spans="2:9" x14ac:dyDescent="0.25">
      <c r="B124" s="75" t="s">
        <v>65</v>
      </c>
      <c r="C124" s="76"/>
      <c r="D124" s="76"/>
      <c r="E124" s="76"/>
      <c r="F124" s="76"/>
      <c r="G124" s="7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5" t="s">
        <v>67</v>
      </c>
      <c r="C126" s="76"/>
      <c r="D126" s="76"/>
      <c r="E126" s="76"/>
      <c r="F126" s="76"/>
      <c r="G126" s="77"/>
    </row>
    <row r="127" spans="2:9" x14ac:dyDescent="0.25">
      <c r="B127" s="3" t="s">
        <v>68</v>
      </c>
      <c r="C127" s="14">
        <v>1.65</v>
      </c>
      <c r="D127" s="39">
        <v>2.0448810000000002</v>
      </c>
      <c r="E127" s="13">
        <v>2.1061876562231263</v>
      </c>
      <c r="F127" s="4">
        <v>0</v>
      </c>
      <c r="G127" s="11">
        <f>AVERAGE(C127:E127)</f>
        <v>1.9336895520743755</v>
      </c>
    </row>
    <row r="128" spans="2:9" x14ac:dyDescent="0.25">
      <c r="B128" s="82"/>
      <c r="C128" s="82"/>
      <c r="D128" s="82"/>
      <c r="E128" s="82"/>
      <c r="F128" s="82"/>
      <c r="G128" s="82"/>
      <c r="H128" s="82"/>
    </row>
    <row r="129" spans="2:9" x14ac:dyDescent="0.25">
      <c r="B129" s="69" t="s">
        <v>69</v>
      </c>
      <c r="C129" s="69"/>
      <c r="D129" s="69"/>
      <c r="E129" s="69"/>
      <c r="F129" s="69"/>
      <c r="G129" s="69"/>
    </row>
    <row r="130" spans="2:9" x14ac:dyDescent="0.25">
      <c r="B130" s="14" t="s">
        <v>70</v>
      </c>
      <c r="C130" s="28">
        <v>251362</v>
      </c>
      <c r="D130" s="28">
        <v>3580</v>
      </c>
      <c r="E130" s="28">
        <v>8565</v>
      </c>
      <c r="F130" s="28">
        <v>804</v>
      </c>
      <c r="G130" s="28">
        <f>SUM(C130:F130)</f>
        <v>264311</v>
      </c>
    </row>
    <row r="131" spans="2:9" x14ac:dyDescent="0.25">
      <c r="B131" s="14" t="s">
        <v>71</v>
      </c>
      <c r="C131" s="28">
        <v>166023.62209300001</v>
      </c>
      <c r="D131" s="28">
        <v>3817.5570290000001</v>
      </c>
      <c r="E131" s="28">
        <v>1105</v>
      </c>
      <c r="F131" s="28">
        <v>831.23607700000002</v>
      </c>
      <c r="G131" s="11">
        <f>SUM(C131:F131)</f>
        <v>171777.41519900001</v>
      </c>
    </row>
    <row r="132" spans="2:9" x14ac:dyDescent="0.25">
      <c r="B132" s="70"/>
      <c r="C132" s="70"/>
      <c r="D132" s="70"/>
      <c r="E132" s="70"/>
      <c r="F132" s="70"/>
      <c r="G132" s="70"/>
      <c r="H132" s="70"/>
    </row>
    <row r="133" spans="2:9" x14ac:dyDescent="0.25">
      <c r="B133" s="69" t="s">
        <v>72</v>
      </c>
      <c r="C133" s="69"/>
      <c r="D133" s="69"/>
      <c r="E133" s="69"/>
      <c r="F133" s="69"/>
      <c r="G133" s="69"/>
    </row>
    <row r="134" spans="2:9" x14ac:dyDescent="0.25">
      <c r="B134" s="14" t="s">
        <v>73</v>
      </c>
      <c r="C134" s="28">
        <v>494421</v>
      </c>
      <c r="D134" s="28">
        <v>367094</v>
      </c>
      <c r="E134" s="28">
        <v>121669</v>
      </c>
      <c r="F134" s="28">
        <v>290470</v>
      </c>
      <c r="G134" s="28">
        <f>SUM(C134:F134)</f>
        <v>1273654</v>
      </c>
    </row>
    <row r="135" spans="2:9" x14ac:dyDescent="0.25">
      <c r="B135" s="70"/>
      <c r="C135" s="70"/>
      <c r="D135" s="70"/>
      <c r="E135" s="70"/>
      <c r="F135" s="70"/>
      <c r="G135" s="70"/>
      <c r="H135" s="70"/>
    </row>
    <row r="136" spans="2:9" ht="21" x14ac:dyDescent="0.35">
      <c r="B136" s="78" t="s">
        <v>74</v>
      </c>
      <c r="C136" s="78"/>
      <c r="D136" s="78"/>
      <c r="E136" s="78"/>
      <c r="F136" s="78"/>
      <c r="G136" s="78"/>
    </row>
    <row r="137" spans="2:9" x14ac:dyDescent="0.25">
      <c r="B137" s="69" t="s">
        <v>75</v>
      </c>
      <c r="C137" s="69"/>
      <c r="D137" s="69"/>
      <c r="E137" s="69"/>
      <c r="F137" s="69"/>
      <c r="G137" s="69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15789</v>
      </c>
      <c r="G138" s="28">
        <f>SUM(C138:F138)</f>
        <v>15789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204</v>
      </c>
      <c r="G139" s="28">
        <f>SUM(C139:F139)</f>
        <v>204</v>
      </c>
      <c r="H139" s="7"/>
      <c r="I139" s="7"/>
    </row>
    <row r="140" spans="2:9" x14ac:dyDescent="0.25">
      <c r="B140" s="70"/>
      <c r="C140" s="70"/>
      <c r="D140" s="70"/>
      <c r="E140" s="70"/>
      <c r="F140" s="70"/>
      <c r="G140" s="70"/>
      <c r="H140" s="70"/>
      <c r="I140" s="7"/>
    </row>
    <row r="141" spans="2:9" x14ac:dyDescent="0.25">
      <c r="B141" s="70"/>
      <c r="C141" s="70"/>
      <c r="D141" s="70"/>
      <c r="E141" s="70"/>
      <c r="F141" s="70"/>
      <c r="G141" s="70"/>
      <c r="H141" s="70"/>
    </row>
    <row r="142" spans="2:9" ht="21" x14ac:dyDescent="0.35">
      <c r="B142" s="79" t="s">
        <v>78</v>
      </c>
      <c r="C142" s="80"/>
      <c r="D142" s="80"/>
      <c r="E142" s="80"/>
      <c r="F142" s="80"/>
      <c r="G142" s="81"/>
    </row>
    <row r="143" spans="2:9" x14ac:dyDescent="0.25">
      <c r="B143" s="75" t="s">
        <v>79</v>
      </c>
      <c r="C143" s="76"/>
      <c r="D143" s="76"/>
      <c r="E143" s="76"/>
      <c r="F143" s="76"/>
      <c r="G143" s="77"/>
    </row>
    <row r="144" spans="2:9" x14ac:dyDescent="0.25">
      <c r="B144" s="70"/>
      <c r="C144" s="70"/>
      <c r="D144" s="70"/>
      <c r="E144" s="70"/>
      <c r="F144" s="70"/>
      <c r="G144" s="70"/>
      <c r="H144" s="70"/>
    </row>
    <row r="145" spans="2:8" x14ac:dyDescent="0.25">
      <c r="B145" s="74" t="s">
        <v>80</v>
      </c>
      <c r="C145" s="74"/>
      <c r="D145" s="74"/>
      <c r="E145" s="74"/>
      <c r="F145" s="74"/>
      <c r="G145" s="74"/>
    </row>
    <row r="146" spans="2:8" x14ac:dyDescent="0.25">
      <c r="B146" s="14" t="s">
        <v>81</v>
      </c>
      <c r="C146" s="28">
        <v>0</v>
      </c>
      <c r="D146" s="28">
        <v>11354</v>
      </c>
      <c r="E146" s="28">
        <v>0</v>
      </c>
      <c r="F146" s="28">
        <v>2240</v>
      </c>
      <c r="G146" s="28">
        <f>SUM(C146:F146)</f>
        <v>13594</v>
      </c>
    </row>
    <row r="147" spans="2:8" x14ac:dyDescent="0.25">
      <c r="B147" s="14" t="s">
        <v>82</v>
      </c>
      <c r="C147" s="28">
        <v>0</v>
      </c>
      <c r="D147" s="56">
        <v>249.12200000000001</v>
      </c>
      <c r="E147" s="28">
        <v>0</v>
      </c>
      <c r="F147" s="28">
        <v>26.303249999999998</v>
      </c>
      <c r="G147" s="11">
        <f>SUM(C147:F147)</f>
        <v>275.42525000000001</v>
      </c>
    </row>
    <row r="148" spans="2:8" x14ac:dyDescent="0.25">
      <c r="B148" s="70"/>
      <c r="C148" s="70"/>
      <c r="D148" s="70"/>
      <c r="E148" s="70"/>
      <c r="F148" s="70"/>
      <c r="G148" s="70"/>
      <c r="H148" s="70"/>
    </row>
    <row r="149" spans="2:8" x14ac:dyDescent="0.25">
      <c r="B149" s="74" t="s">
        <v>83</v>
      </c>
      <c r="C149" s="74"/>
      <c r="D149" s="74"/>
      <c r="E149" s="74"/>
      <c r="F149" s="74"/>
      <c r="G149" s="74"/>
    </row>
    <row r="150" spans="2:8" x14ac:dyDescent="0.25">
      <c r="B150" s="14" t="s">
        <v>84</v>
      </c>
      <c r="C150" s="28">
        <v>0</v>
      </c>
      <c r="D150" s="37">
        <v>2</v>
      </c>
      <c r="E150" s="28">
        <v>0</v>
      </c>
      <c r="F150" s="28">
        <v>0</v>
      </c>
      <c r="G150" s="28">
        <f>SUM(C150:F150)</f>
        <v>2</v>
      </c>
      <c r="H150"/>
    </row>
    <row r="151" spans="2:8" x14ac:dyDescent="0.25">
      <c r="B151" s="14" t="s">
        <v>85</v>
      </c>
      <c r="C151" s="28">
        <v>0</v>
      </c>
      <c r="D151" s="57">
        <v>0.13</v>
      </c>
      <c r="E151" s="28">
        <v>0</v>
      </c>
      <c r="F151" s="28">
        <v>0</v>
      </c>
      <c r="G151" s="11">
        <f>SUM(C151:F151)</f>
        <v>0.13</v>
      </c>
      <c r="H151"/>
    </row>
    <row r="152" spans="2:8" x14ac:dyDescent="0.25">
      <c r="B152" s="70"/>
      <c r="C152" s="70"/>
      <c r="D152" s="70"/>
      <c r="E152" s="70"/>
      <c r="F152" s="70"/>
      <c r="G152" s="70"/>
      <c r="H152" s="70"/>
    </row>
    <row r="153" spans="2:8" x14ac:dyDescent="0.25">
      <c r="B153" s="74" t="s">
        <v>86</v>
      </c>
      <c r="C153" s="74"/>
      <c r="D153" s="74"/>
      <c r="E153" s="74"/>
      <c r="F153" s="74"/>
      <c r="G153" s="74"/>
    </row>
    <row r="154" spans="2:8" x14ac:dyDescent="0.25">
      <c r="B154" s="14" t="s">
        <v>87</v>
      </c>
      <c r="C154" s="14">
        <v>0</v>
      </c>
      <c r="D154" s="28">
        <v>163</v>
      </c>
      <c r="E154" s="36">
        <v>0</v>
      </c>
      <c r="F154" s="35">
        <v>0</v>
      </c>
      <c r="G154" s="28">
        <f>SUM(C154:F154)</f>
        <v>163</v>
      </c>
      <c r="H154"/>
    </row>
    <row r="155" spans="2:8" x14ac:dyDescent="0.25">
      <c r="B155" s="14" t="s">
        <v>88</v>
      </c>
      <c r="C155" s="28">
        <v>0</v>
      </c>
      <c r="D155" s="56">
        <v>2.3199999999999998</v>
      </c>
      <c r="E155" s="36">
        <v>0</v>
      </c>
      <c r="F155" s="35">
        <v>0</v>
      </c>
      <c r="G155" s="11">
        <f>SUM(C155:F155)</f>
        <v>2.3199999999999998</v>
      </c>
      <c r="H155"/>
    </row>
    <row r="156" spans="2:8" x14ac:dyDescent="0.25">
      <c r="B156" s="70"/>
      <c r="C156" s="70"/>
      <c r="D156" s="70"/>
      <c r="E156" s="70"/>
      <c r="F156" s="70"/>
      <c r="G156" s="70"/>
      <c r="H156" s="70"/>
    </row>
    <row r="157" spans="2:8" x14ac:dyDescent="0.25">
      <c r="B157" s="71" t="s">
        <v>89</v>
      </c>
      <c r="C157" s="72"/>
      <c r="D157" s="72"/>
      <c r="E157" s="72"/>
      <c r="F157" s="72"/>
      <c r="G157" s="73"/>
    </row>
    <row r="158" spans="2:8" x14ac:dyDescent="0.25">
      <c r="B158" s="18" t="s">
        <v>90</v>
      </c>
      <c r="C158" s="19">
        <v>0</v>
      </c>
      <c r="D158" s="46">
        <v>11519</v>
      </c>
      <c r="E158" s="19">
        <v>0</v>
      </c>
      <c r="F158" s="19">
        <f>F146+F154</f>
        <v>2240</v>
      </c>
      <c r="G158" s="19">
        <f>SUM(C158:F158)</f>
        <v>13759</v>
      </c>
    </row>
    <row r="159" spans="2:8" x14ac:dyDescent="0.25">
      <c r="B159" s="18" t="s">
        <v>91</v>
      </c>
      <c r="C159" s="19">
        <v>0</v>
      </c>
      <c r="D159" s="46">
        <v>251.572</v>
      </c>
      <c r="E159" s="19">
        <v>0</v>
      </c>
      <c r="F159" s="19">
        <f>F147+F155</f>
        <v>26.303249999999998</v>
      </c>
      <c r="G159" s="22">
        <f>SUM(C159:F159)</f>
        <v>277.87524999999999</v>
      </c>
    </row>
    <row r="160" spans="2:8" x14ac:dyDescent="0.25">
      <c r="B160" s="70"/>
      <c r="C160" s="70"/>
      <c r="D160" s="70"/>
      <c r="E160" s="70"/>
      <c r="F160" s="70"/>
      <c r="G160" s="70"/>
      <c r="H160" s="70"/>
    </row>
    <row r="161" spans="2:8" x14ac:dyDescent="0.25">
      <c r="B161" s="69" t="s">
        <v>92</v>
      </c>
      <c r="C161" s="69"/>
      <c r="D161" s="69"/>
      <c r="E161" s="69"/>
      <c r="F161" s="69"/>
      <c r="G161" s="69"/>
    </row>
    <row r="162" spans="2:8" x14ac:dyDescent="0.25">
      <c r="B162" s="14" t="s">
        <v>87</v>
      </c>
      <c r="C162" s="28">
        <v>3873</v>
      </c>
      <c r="D162" s="28">
        <v>37663</v>
      </c>
      <c r="E162" s="28">
        <v>4238</v>
      </c>
      <c r="F162" s="28">
        <v>21740</v>
      </c>
      <c r="G162" s="28">
        <f>SUM(C162:F162)</f>
        <v>67514</v>
      </c>
    </row>
    <row r="163" spans="2:8" x14ac:dyDescent="0.25">
      <c r="B163" s="14" t="s">
        <v>88</v>
      </c>
      <c r="C163" s="28">
        <f>90740123/1000000</f>
        <v>90.740122999999997</v>
      </c>
      <c r="D163" s="56">
        <v>239.44761799999995</v>
      </c>
      <c r="E163" s="28">
        <v>67</v>
      </c>
      <c r="F163" s="28">
        <v>131.13056</v>
      </c>
      <c r="G163" s="11">
        <f>SUM(C163:F163)</f>
        <v>528.31830100000002</v>
      </c>
    </row>
    <row r="164" spans="2:8" x14ac:dyDescent="0.25">
      <c r="B164" s="70"/>
      <c r="C164" s="70"/>
      <c r="D164" s="70"/>
      <c r="E164" s="70"/>
      <c r="F164" s="70"/>
      <c r="G164" s="70"/>
    </row>
    <row r="165" spans="2:8" x14ac:dyDescent="0.25">
      <c r="B165" s="75" t="s">
        <v>93</v>
      </c>
      <c r="C165" s="76"/>
      <c r="D165" s="76"/>
      <c r="E165" s="76"/>
      <c r="F165" s="76"/>
      <c r="G165" s="77"/>
    </row>
    <row r="166" spans="2:8" x14ac:dyDescent="0.25">
      <c r="B166" s="71" t="s">
        <v>94</v>
      </c>
      <c r="C166" s="72"/>
      <c r="D166" s="72"/>
      <c r="E166" s="72"/>
      <c r="F166" s="72"/>
      <c r="G166" s="73"/>
    </row>
    <row r="167" spans="2:8" x14ac:dyDescent="0.25">
      <c r="B167" s="14" t="s">
        <v>95</v>
      </c>
      <c r="C167" s="28">
        <v>637</v>
      </c>
      <c r="D167" s="28">
        <v>4764</v>
      </c>
      <c r="E167" s="28">
        <v>224</v>
      </c>
      <c r="F167" s="28">
        <v>707</v>
      </c>
      <c r="G167" s="28">
        <f>SUM(C167:F167)</f>
        <v>6332</v>
      </c>
    </row>
    <row r="168" spans="2:8" x14ac:dyDescent="0.25">
      <c r="B168" s="14" t="s">
        <v>96</v>
      </c>
      <c r="C168" s="28">
        <f>15925000/1000000</f>
        <v>15.925000000000001</v>
      </c>
      <c r="D168" s="56">
        <v>108.34099999999999</v>
      </c>
      <c r="E168" s="28">
        <v>4.71</v>
      </c>
      <c r="F168" s="28">
        <v>24.79</v>
      </c>
      <c r="G168" s="11">
        <f>SUM(C168:F168)</f>
        <v>153.76599999999999</v>
      </c>
    </row>
    <row r="169" spans="2:8" x14ac:dyDescent="0.25">
      <c r="B169" s="70"/>
      <c r="C169" s="70"/>
      <c r="D169" s="70"/>
      <c r="E169" s="70"/>
      <c r="F169" s="70"/>
      <c r="G169" s="70"/>
    </row>
    <row r="170" spans="2:8" x14ac:dyDescent="0.25">
      <c r="B170" s="71" t="s">
        <v>97</v>
      </c>
      <c r="C170" s="72"/>
      <c r="D170" s="72"/>
      <c r="E170" s="72"/>
      <c r="F170" s="72"/>
      <c r="G170" s="73"/>
    </row>
    <row r="171" spans="2:8" x14ac:dyDescent="0.25">
      <c r="B171" s="14" t="s">
        <v>98</v>
      </c>
      <c r="C171" s="28">
        <v>2132</v>
      </c>
      <c r="D171" s="28">
        <v>928</v>
      </c>
      <c r="E171" s="28">
        <v>200</v>
      </c>
      <c r="F171" s="28">
        <v>472</v>
      </c>
      <c r="G171" s="28">
        <f>SUM(C171:F171)</f>
        <v>3732</v>
      </c>
    </row>
    <row r="172" spans="2:8" x14ac:dyDescent="0.25">
      <c r="B172" s="14" t="s">
        <v>96</v>
      </c>
      <c r="C172" s="28">
        <f>46904000/1000000</f>
        <v>46.904000000000003</v>
      </c>
      <c r="D172" s="28">
        <v>19.488</v>
      </c>
      <c r="E172" s="28">
        <v>5</v>
      </c>
      <c r="F172" s="28">
        <v>10.340999999999999</v>
      </c>
      <c r="G172" s="11">
        <f>SUM(C172:F172)</f>
        <v>81.73299999999999</v>
      </c>
    </row>
    <row r="173" spans="2:8" x14ac:dyDescent="0.25">
      <c r="B173" s="70"/>
      <c r="C173" s="70"/>
      <c r="D173" s="70"/>
      <c r="E173" s="70"/>
      <c r="F173" s="70"/>
      <c r="G173" s="70"/>
      <c r="H173" s="70"/>
    </row>
    <row r="174" spans="2:8" x14ac:dyDescent="0.25">
      <c r="B174" s="71" t="s">
        <v>99</v>
      </c>
      <c r="C174" s="72"/>
      <c r="D174" s="72"/>
      <c r="E174" s="72"/>
      <c r="F174" s="72"/>
      <c r="G174" s="73"/>
    </row>
    <row r="175" spans="2:8" x14ac:dyDescent="0.25">
      <c r="B175" s="14" t="s">
        <v>98</v>
      </c>
      <c r="C175" s="28">
        <v>248</v>
      </c>
      <c r="D175" s="28">
        <v>272</v>
      </c>
      <c r="E175" s="28">
        <v>118</v>
      </c>
      <c r="F175" s="28">
        <v>35</v>
      </c>
      <c r="G175" s="28">
        <f>SUM(C175:F175)</f>
        <v>673</v>
      </c>
    </row>
    <row r="176" spans="2:8" x14ac:dyDescent="0.25">
      <c r="B176" s="14" t="s">
        <v>96</v>
      </c>
      <c r="C176" s="28">
        <f>17360000/1000000</f>
        <v>17.36</v>
      </c>
      <c r="D176" s="28">
        <v>28.66</v>
      </c>
      <c r="E176" s="56">
        <v>6.9191510000000003</v>
      </c>
      <c r="F176" s="28">
        <v>3.61</v>
      </c>
      <c r="G176" s="11">
        <f>SUM(C176:F176)</f>
        <v>56.549150999999995</v>
      </c>
    </row>
    <row r="177" spans="2:8" x14ac:dyDescent="0.25">
      <c r="B177" s="70"/>
      <c r="C177" s="70"/>
      <c r="D177" s="70"/>
      <c r="E177" s="70"/>
      <c r="F177" s="70"/>
      <c r="G177" s="70"/>
      <c r="H177" s="70"/>
    </row>
    <row r="178" spans="2:8" x14ac:dyDescent="0.25">
      <c r="B178" s="71" t="s">
        <v>100</v>
      </c>
      <c r="C178" s="72"/>
      <c r="D178" s="72"/>
      <c r="E178" s="72"/>
      <c r="F178" s="72"/>
      <c r="G178" s="73"/>
    </row>
    <row r="179" spans="2:8" x14ac:dyDescent="0.25">
      <c r="B179" s="14" t="s">
        <v>98</v>
      </c>
      <c r="C179" s="28">
        <v>456</v>
      </c>
      <c r="D179" s="28">
        <v>171122</v>
      </c>
      <c r="E179" s="28">
        <v>0</v>
      </c>
      <c r="F179" s="28">
        <v>0</v>
      </c>
      <c r="G179" s="28">
        <f>SUM(C179:F179)</f>
        <v>171578</v>
      </c>
    </row>
    <row r="180" spans="2:8" x14ac:dyDescent="0.25">
      <c r="B180" s="14" t="s">
        <v>96</v>
      </c>
      <c r="C180" s="28">
        <f>14030000/1000000</f>
        <v>14.03</v>
      </c>
      <c r="D180" s="28">
        <v>2616.3758582967998</v>
      </c>
      <c r="E180" s="28">
        <v>0</v>
      </c>
      <c r="F180" s="28">
        <v>0</v>
      </c>
      <c r="G180" s="11">
        <f>SUM(C180:F180)</f>
        <v>2630.4058582968</v>
      </c>
    </row>
    <row r="181" spans="2:8" x14ac:dyDescent="0.25">
      <c r="B181" s="70"/>
      <c r="C181" s="70"/>
      <c r="D181" s="70"/>
      <c r="E181" s="70"/>
      <c r="F181" s="70"/>
      <c r="G181" s="70"/>
      <c r="H181" s="70"/>
    </row>
    <row r="182" spans="2:8" x14ac:dyDescent="0.25">
      <c r="B182" s="69" t="s">
        <v>101</v>
      </c>
      <c r="C182" s="69"/>
      <c r="D182" s="69"/>
      <c r="E182" s="69"/>
      <c r="F182" s="69"/>
      <c r="G182" s="69"/>
    </row>
    <row r="183" spans="2:8" x14ac:dyDescent="0.25">
      <c r="B183" s="18" t="s">
        <v>102</v>
      </c>
      <c r="C183" s="19">
        <f>+C179+C175+C171+C167</f>
        <v>3473</v>
      </c>
      <c r="D183" s="46">
        <v>177086</v>
      </c>
      <c r="E183" s="19">
        <v>542</v>
      </c>
      <c r="F183" s="19">
        <f>+F179+F175+F171+F167</f>
        <v>1214</v>
      </c>
      <c r="G183" s="19">
        <f>SUM(C183:F183)</f>
        <v>182315</v>
      </c>
    </row>
    <row r="184" spans="2:8" x14ac:dyDescent="0.25">
      <c r="B184" s="18" t="s">
        <v>103</v>
      </c>
      <c r="C184" s="19">
        <f>+C180+C176+C172+C168</f>
        <v>94.219000000000008</v>
      </c>
      <c r="D184" s="46">
        <v>2772.8648582967999</v>
      </c>
      <c r="E184" s="19">
        <v>16.629151</v>
      </c>
      <c r="F184" s="19">
        <f>+F180+F176+F172+F168</f>
        <v>38.741</v>
      </c>
      <c r="G184" s="22">
        <f>SUM(C184:F184)</f>
        <v>2922.4540092968</v>
      </c>
    </row>
    <row r="185" spans="2:8" x14ac:dyDescent="0.25">
      <c r="B185" s="70"/>
      <c r="C185" s="70"/>
      <c r="D185" s="70"/>
      <c r="E185" s="70"/>
      <c r="F185" s="70"/>
      <c r="G185" s="70"/>
      <c r="H185" s="70"/>
    </row>
    <row r="186" spans="2:8" x14ac:dyDescent="0.25">
      <c r="B186" s="69" t="s">
        <v>104</v>
      </c>
      <c r="C186" s="69"/>
      <c r="D186" s="69"/>
      <c r="E186" s="69"/>
      <c r="F186" s="69"/>
      <c r="G186" s="69"/>
    </row>
    <row r="187" spans="2:8" x14ac:dyDescent="0.25">
      <c r="B187" s="14" t="s">
        <v>105</v>
      </c>
      <c r="C187" s="28">
        <v>3905</v>
      </c>
      <c r="D187" s="28">
        <v>1961</v>
      </c>
      <c r="E187" s="28">
        <v>73</v>
      </c>
      <c r="F187" s="28">
        <v>22954</v>
      </c>
      <c r="G187" s="28">
        <f>SUM(C187:F187)</f>
        <v>28893</v>
      </c>
    </row>
    <row r="188" spans="2:8" x14ac:dyDescent="0.25">
      <c r="B188" s="14" t="s">
        <v>106</v>
      </c>
      <c r="C188" s="28">
        <f>33202543/1000000</f>
        <v>33.202542999999999</v>
      </c>
      <c r="D188" s="28">
        <v>105.346846</v>
      </c>
      <c r="E188" s="28">
        <v>2.6</v>
      </c>
      <c r="F188" s="28">
        <v>169.87156000000002</v>
      </c>
      <c r="G188" s="11">
        <f>SUM(C188:F188)</f>
        <v>311.02094899999997</v>
      </c>
    </row>
    <row r="189" spans="2:8" x14ac:dyDescent="0.25">
      <c r="B189" s="70"/>
      <c r="C189" s="70"/>
      <c r="D189" s="70"/>
      <c r="E189" s="70"/>
      <c r="F189" s="70"/>
      <c r="G189" s="70"/>
      <c r="H189" s="70"/>
    </row>
    <row r="190" spans="2:8" x14ac:dyDescent="0.25">
      <c r="B190" s="69" t="s">
        <v>107</v>
      </c>
      <c r="C190" s="69"/>
      <c r="D190" s="69"/>
      <c r="E190" s="69"/>
      <c r="F190" s="69"/>
      <c r="G190" s="69"/>
    </row>
    <row r="191" spans="2:8" x14ac:dyDescent="0.25">
      <c r="B191" s="18" t="s">
        <v>108</v>
      </c>
      <c r="C191" s="19">
        <f>C187+C162+C183</f>
        <v>11251</v>
      </c>
      <c r="D191" s="46">
        <v>228229</v>
      </c>
      <c r="E191" s="19">
        <v>4853</v>
      </c>
      <c r="F191" s="19">
        <f>F158+F162+F183+F187</f>
        <v>48148</v>
      </c>
      <c r="G191" s="19">
        <f>SUM(C191:F191)</f>
        <v>292481</v>
      </c>
    </row>
    <row r="192" spans="2:8" x14ac:dyDescent="0.25">
      <c r="B192" s="18" t="s">
        <v>109</v>
      </c>
      <c r="C192" s="19">
        <f>C188+C163+C184</f>
        <v>218.16166600000003</v>
      </c>
      <c r="D192" s="46">
        <v>3369.2313222968</v>
      </c>
      <c r="E192" s="19">
        <v>86.229151000000002</v>
      </c>
      <c r="F192" s="19">
        <f>F159+F184+F163+F188</f>
        <v>366.04637000000002</v>
      </c>
      <c r="G192" s="22">
        <f>SUM(C192:F192)</f>
        <v>4039.6685092968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4CE3-481C-4CEA-AB71-FE726D0ED326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0" t="s">
        <v>1</v>
      </c>
      <c r="D2" s="91"/>
      <c r="E2" s="91"/>
      <c r="F2" s="91"/>
      <c r="G2" s="9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9" t="s">
        <v>7</v>
      </c>
      <c r="C4" s="80"/>
      <c r="D4" s="80"/>
      <c r="E4" s="80"/>
      <c r="F4" s="80"/>
      <c r="G4" s="81"/>
    </row>
    <row r="5" spans="1:7" x14ac:dyDescent="0.25">
      <c r="B5" s="75" t="s">
        <v>8</v>
      </c>
      <c r="C5" s="76"/>
      <c r="D5" s="76"/>
      <c r="E5" s="76"/>
      <c r="F5" s="76"/>
      <c r="G5" s="77"/>
    </row>
    <row r="6" spans="1:7" x14ac:dyDescent="0.25">
      <c r="B6" s="4" t="s">
        <v>9</v>
      </c>
      <c r="C6" s="12">
        <v>55474</v>
      </c>
      <c r="D6" s="12">
        <v>8188</v>
      </c>
      <c r="E6" s="17">
        <v>8695</v>
      </c>
      <c r="F6" s="12">
        <v>10242</v>
      </c>
      <c r="G6" s="12">
        <f>+F6+E6+D6+C6</f>
        <v>82599</v>
      </c>
    </row>
    <row r="7" spans="1:7" x14ac:dyDescent="0.25">
      <c r="B7" s="14" t="s">
        <v>10</v>
      </c>
      <c r="C7" s="12">
        <v>528</v>
      </c>
      <c r="D7" s="12">
        <v>219</v>
      </c>
      <c r="E7" s="17">
        <v>31</v>
      </c>
      <c r="F7" s="12">
        <v>145</v>
      </c>
      <c r="G7" s="12">
        <f>+F7+E7+D7+C7</f>
        <v>923</v>
      </c>
    </row>
    <row r="8" spans="1:7" x14ac:dyDescent="0.25">
      <c r="B8" s="18" t="s">
        <v>11</v>
      </c>
      <c r="C8" s="25">
        <v>56002</v>
      </c>
      <c r="D8" s="25">
        <v>8407</v>
      </c>
      <c r="E8" s="25">
        <v>8726</v>
      </c>
      <c r="F8" s="25">
        <v>10387</v>
      </c>
      <c r="G8" s="25">
        <f>+F8+E8+D8+C8</f>
        <v>83522</v>
      </c>
    </row>
    <row r="9" spans="1:7" x14ac:dyDescent="0.25">
      <c r="B9" s="70"/>
      <c r="C9" s="70"/>
      <c r="D9" s="70"/>
      <c r="E9" s="70"/>
      <c r="F9" s="70"/>
      <c r="G9" s="70"/>
    </row>
    <row r="10" spans="1:7" x14ac:dyDescent="0.25">
      <c r="B10" s="75" t="s">
        <v>12</v>
      </c>
      <c r="C10" s="76"/>
      <c r="D10" s="76"/>
      <c r="E10" s="76"/>
      <c r="F10" s="76"/>
      <c r="G10" s="77"/>
    </row>
    <row r="11" spans="1:7" x14ac:dyDescent="0.25">
      <c r="B11" s="71" t="s">
        <v>13</v>
      </c>
      <c r="C11" s="72"/>
      <c r="D11" s="72"/>
      <c r="E11" s="72"/>
      <c r="F11" s="72"/>
      <c r="G11" s="73"/>
    </row>
    <row r="12" spans="1:7" x14ac:dyDescent="0.25">
      <c r="B12" s="16" t="s">
        <v>14</v>
      </c>
      <c r="C12" s="37">
        <v>864969</v>
      </c>
      <c r="D12" s="37">
        <v>122917</v>
      </c>
      <c r="E12" s="37">
        <v>48893</v>
      </c>
      <c r="F12" s="17">
        <v>0</v>
      </c>
      <c r="G12" s="17">
        <f>SUM(C12:F12)</f>
        <v>1036779</v>
      </c>
    </row>
    <row r="13" spans="1:7" x14ac:dyDescent="0.25">
      <c r="B13" s="16" t="s">
        <v>15</v>
      </c>
      <c r="C13" s="37">
        <v>2445673</v>
      </c>
      <c r="D13" s="37">
        <v>549841</v>
      </c>
      <c r="E13" s="37">
        <v>238711</v>
      </c>
      <c r="F13" s="17">
        <v>0</v>
      </c>
      <c r="G13" s="17">
        <f>SUM(C13:F13)</f>
        <v>3234225</v>
      </c>
    </row>
    <row r="14" spans="1:7" x14ac:dyDescent="0.25">
      <c r="B14" s="18" t="s">
        <v>16</v>
      </c>
      <c r="C14" s="19">
        <v>3310642</v>
      </c>
      <c r="D14" s="19">
        <v>1014998</v>
      </c>
      <c r="E14" s="19">
        <v>287604</v>
      </c>
      <c r="F14" s="19">
        <v>137457</v>
      </c>
      <c r="G14" s="19">
        <f>SUM(C14:F14)</f>
        <v>4750701</v>
      </c>
    </row>
    <row r="15" spans="1:7" x14ac:dyDescent="0.25">
      <c r="B15" s="18" t="s">
        <v>17</v>
      </c>
      <c r="C15" s="19">
        <v>458587</v>
      </c>
      <c r="D15" s="19">
        <v>156417</v>
      </c>
      <c r="E15" s="19">
        <v>3167</v>
      </c>
      <c r="F15" s="19">
        <v>361104</v>
      </c>
      <c r="G15" s="19">
        <f>SUM(C15:F15)</f>
        <v>979275</v>
      </c>
    </row>
    <row r="16" spans="1:7" x14ac:dyDescent="0.25">
      <c r="B16" s="18" t="s">
        <v>18</v>
      </c>
      <c r="C16" s="19">
        <v>3769229</v>
      </c>
      <c r="D16" s="19">
        <v>1171415</v>
      </c>
      <c r="E16" s="19">
        <v>290771</v>
      </c>
      <c r="F16" s="19">
        <v>498561</v>
      </c>
      <c r="G16" s="19">
        <f>SUM(C16:F16)</f>
        <v>5729976</v>
      </c>
    </row>
    <row r="17" spans="2:8" x14ac:dyDescent="0.25">
      <c r="B17" s="70"/>
      <c r="C17" s="70"/>
      <c r="D17" s="70"/>
      <c r="E17" s="70"/>
      <c r="F17" s="70"/>
      <c r="G17" s="70"/>
    </row>
    <row r="18" spans="2:8" x14ac:dyDescent="0.25">
      <c r="B18" s="71" t="s">
        <v>19</v>
      </c>
      <c r="C18" s="72"/>
      <c r="D18" s="72"/>
      <c r="E18" s="72"/>
      <c r="F18" s="72"/>
      <c r="G18" s="73"/>
    </row>
    <row r="19" spans="2:8" x14ac:dyDescent="0.25">
      <c r="B19" s="14" t="s">
        <v>20</v>
      </c>
      <c r="C19" s="28">
        <v>3533</v>
      </c>
      <c r="D19" s="28">
        <v>4</v>
      </c>
      <c r="E19" s="28">
        <v>0</v>
      </c>
      <c r="F19" s="28">
        <v>0</v>
      </c>
      <c r="G19" s="28">
        <f>SUM(C19:F19)</f>
        <v>3537</v>
      </c>
    </row>
    <row r="20" spans="2:8" x14ac:dyDescent="0.25">
      <c r="B20" s="93"/>
      <c r="C20" s="93"/>
      <c r="D20" s="93"/>
      <c r="E20" s="93"/>
      <c r="F20" s="93"/>
      <c r="G20" s="93"/>
    </row>
    <row r="21" spans="2:8" x14ac:dyDescent="0.25">
      <c r="B21" s="18" t="s">
        <v>21</v>
      </c>
      <c r="C21" s="19">
        <f>+C19+C16</f>
        <v>3772762</v>
      </c>
      <c r="D21" s="19">
        <v>1171419</v>
      </c>
      <c r="E21" s="19">
        <v>290771</v>
      </c>
      <c r="F21" s="19">
        <f>F16</f>
        <v>498561</v>
      </c>
      <c r="G21" s="19">
        <f>SUM(C21:F21)</f>
        <v>5733513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399341</v>
      </c>
      <c r="D24" s="19">
        <v>196390</v>
      </c>
      <c r="E24" s="19">
        <v>134964</v>
      </c>
      <c r="F24" s="19">
        <v>677385</v>
      </c>
      <c r="G24" s="19">
        <f>SUM(C24:F24)</f>
        <v>1408080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4172103</v>
      </c>
      <c r="D27" s="19">
        <v>1367809</v>
      </c>
      <c r="E27" s="19">
        <f>+E21+E24</f>
        <v>425735</v>
      </c>
      <c r="F27" s="19">
        <f>+F24+F21</f>
        <v>1175946</v>
      </c>
      <c r="G27" s="19">
        <f>SUM(C27:F27)</f>
        <v>7141593</v>
      </c>
    </row>
    <row r="28" spans="2:8" x14ac:dyDescent="0.25">
      <c r="B28" s="70"/>
      <c r="C28" s="70"/>
      <c r="D28" s="70"/>
      <c r="E28" s="70"/>
      <c r="F28" s="70"/>
      <c r="G28" s="70"/>
      <c r="H28" s="70"/>
    </row>
    <row r="29" spans="2:8" x14ac:dyDescent="0.25">
      <c r="B29" s="75" t="s">
        <v>26</v>
      </c>
      <c r="C29" s="76"/>
      <c r="D29" s="76"/>
      <c r="E29" s="76"/>
      <c r="F29" s="76"/>
      <c r="G29" s="77"/>
    </row>
    <row r="30" spans="2:8" x14ac:dyDescent="0.25">
      <c r="B30" s="14" t="s">
        <v>27</v>
      </c>
      <c r="C30" s="28">
        <v>1246587</v>
      </c>
      <c r="D30" s="28">
        <v>131795</v>
      </c>
      <c r="E30" s="28">
        <v>77740</v>
      </c>
      <c r="F30" s="28">
        <v>211604</v>
      </c>
      <c r="G30" s="28">
        <f>SUM(C30:F30)</f>
        <v>1667726</v>
      </c>
    </row>
    <row r="31" spans="2:8" x14ac:dyDescent="0.25">
      <c r="B31" s="70"/>
      <c r="C31" s="70"/>
      <c r="D31" s="70"/>
      <c r="E31" s="70"/>
      <c r="F31" s="70"/>
      <c r="G31" s="70"/>
      <c r="H31" s="70"/>
    </row>
    <row r="32" spans="2:8" x14ac:dyDescent="0.25">
      <c r="B32" s="75" t="s">
        <v>28</v>
      </c>
      <c r="C32" s="76"/>
      <c r="D32" s="76"/>
      <c r="E32" s="76"/>
      <c r="F32" s="76"/>
      <c r="G32" s="77"/>
    </row>
    <row r="33" spans="2:9" x14ac:dyDescent="0.25">
      <c r="B33" s="14" t="s">
        <v>29</v>
      </c>
      <c r="C33" s="28">
        <v>3688197829605</v>
      </c>
      <c r="D33" s="28">
        <v>649351843235</v>
      </c>
      <c r="E33" s="28">
        <v>245684892646</v>
      </c>
      <c r="F33" s="28">
        <v>437441032278</v>
      </c>
      <c r="G33" s="28">
        <f>SUM(C33:F33)</f>
        <v>5020675597764</v>
      </c>
    </row>
    <row r="34" spans="2:9" x14ac:dyDescent="0.25">
      <c r="B34" s="14" t="s">
        <v>30</v>
      </c>
      <c r="C34" s="28">
        <v>164642929495</v>
      </c>
      <c r="D34" s="28">
        <v>68509768787</v>
      </c>
      <c r="E34" s="28">
        <v>39460562000</v>
      </c>
      <c r="F34" s="28">
        <v>202955535250</v>
      </c>
      <c r="G34" s="28">
        <f>SUM(C34:F34)</f>
        <v>475568795532</v>
      </c>
    </row>
    <row r="35" spans="2:9" x14ac:dyDescent="0.25">
      <c r="B35" s="41" t="s">
        <v>31</v>
      </c>
      <c r="C35" s="42">
        <v>3852840759100</v>
      </c>
      <c r="D35" s="42">
        <v>717861612022</v>
      </c>
      <c r="E35" s="42">
        <v>285145454646</v>
      </c>
      <c r="F35" s="42">
        <v>640396567528</v>
      </c>
      <c r="G35" s="42">
        <f>SUM(C35:F35)</f>
        <v>5496244393296</v>
      </c>
    </row>
    <row r="36" spans="2:9" x14ac:dyDescent="0.25">
      <c r="B36" s="94" t="s">
        <v>32</v>
      </c>
      <c r="C36" s="94"/>
      <c r="D36" s="94"/>
      <c r="E36" s="94"/>
      <c r="F36" s="94"/>
      <c r="G36" s="94"/>
      <c r="H36" s="94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79" t="s">
        <v>33</v>
      </c>
      <c r="C38" s="80"/>
      <c r="D38" s="80"/>
      <c r="E38" s="80"/>
      <c r="F38" s="80"/>
      <c r="G38" s="81"/>
    </row>
    <row r="39" spans="2:9" x14ac:dyDescent="0.25">
      <c r="B39" s="75" t="s">
        <v>34</v>
      </c>
      <c r="C39" s="76"/>
      <c r="D39" s="76"/>
      <c r="E39" s="76"/>
      <c r="F39" s="76"/>
      <c r="G39" s="77"/>
    </row>
    <row r="40" spans="2:9" x14ac:dyDescent="0.25">
      <c r="B40" s="14" t="s">
        <v>35</v>
      </c>
      <c r="C40" s="28">
        <v>669665</v>
      </c>
      <c r="D40" s="28">
        <v>112160</v>
      </c>
      <c r="E40" s="28">
        <v>40920</v>
      </c>
      <c r="F40" s="28">
        <v>72595</v>
      </c>
      <c r="G40" s="28">
        <f>SUM(C40:F40)</f>
        <v>895340</v>
      </c>
      <c r="H40" s="7"/>
      <c r="I40" s="7"/>
    </row>
    <row r="41" spans="2:9" x14ac:dyDescent="0.25">
      <c r="B41" s="14" t="s">
        <v>36</v>
      </c>
      <c r="C41" s="28">
        <v>23087.602220000001</v>
      </c>
      <c r="D41" s="28">
        <v>932</v>
      </c>
      <c r="E41" s="28">
        <v>330</v>
      </c>
      <c r="F41" s="12">
        <v>527.94898699999999</v>
      </c>
      <c r="G41" s="11">
        <f>SUM(C41:F41)</f>
        <v>24877.551207</v>
      </c>
      <c r="H41" s="7"/>
      <c r="I41" s="7"/>
    </row>
    <row r="42" spans="2:9" x14ac:dyDescent="0.25">
      <c r="B42" s="70"/>
      <c r="C42" s="70"/>
      <c r="D42" s="70"/>
      <c r="E42" s="70"/>
      <c r="F42" s="70"/>
      <c r="G42" s="70"/>
      <c r="H42" s="70"/>
      <c r="I42" s="7"/>
    </row>
    <row r="43" spans="2:9" x14ac:dyDescent="0.25">
      <c r="B43" s="69" t="s">
        <v>37</v>
      </c>
      <c r="C43" s="69"/>
      <c r="D43" s="69"/>
      <c r="E43" s="69"/>
      <c r="F43" s="69"/>
      <c r="G43" s="69"/>
      <c r="I43" s="7"/>
    </row>
    <row r="44" spans="2:9" x14ac:dyDescent="0.25">
      <c r="B44" s="14" t="s">
        <v>38</v>
      </c>
      <c r="C44" s="28">
        <v>4</v>
      </c>
      <c r="D44" s="28">
        <v>10</v>
      </c>
      <c r="E44" s="28">
        <v>2</v>
      </c>
      <c r="F44" s="28">
        <v>2</v>
      </c>
      <c r="G44" s="28">
        <f>SUM(C44:F44)</f>
        <v>18</v>
      </c>
      <c r="H44" s="7"/>
      <c r="I44" s="7"/>
    </row>
    <row r="45" spans="2:9" x14ac:dyDescent="0.25">
      <c r="B45" s="14" t="s">
        <v>39</v>
      </c>
      <c r="C45" s="28">
        <v>4.740799</v>
      </c>
      <c r="D45" s="56">
        <v>0.15026800000000001</v>
      </c>
      <c r="E45" s="28">
        <v>8.0000000000000002E-3</v>
      </c>
      <c r="F45" s="28">
        <v>0.121561</v>
      </c>
      <c r="G45" s="11">
        <f>SUM(C45:F45)</f>
        <v>5.0206279999999994</v>
      </c>
      <c r="H45" s="7"/>
      <c r="I45" s="7"/>
    </row>
    <row r="46" spans="2:9" x14ac:dyDescent="0.25">
      <c r="B46" s="70"/>
      <c r="C46" s="70"/>
      <c r="D46" s="70"/>
      <c r="E46" s="70"/>
      <c r="F46" s="70"/>
      <c r="G46" s="70"/>
      <c r="H46" s="70"/>
      <c r="I46" s="7"/>
    </row>
    <row r="47" spans="2:9" x14ac:dyDescent="0.25">
      <c r="B47" s="69" t="s">
        <v>40</v>
      </c>
      <c r="C47" s="69"/>
      <c r="D47" s="69"/>
      <c r="E47" s="69"/>
      <c r="F47" s="69"/>
      <c r="G47" s="69"/>
      <c r="I47" s="7"/>
    </row>
    <row r="48" spans="2:9" x14ac:dyDescent="0.25">
      <c r="B48" s="14" t="s">
        <v>41</v>
      </c>
      <c r="C48" s="28">
        <v>152539</v>
      </c>
      <c r="D48" s="28">
        <v>75581</v>
      </c>
      <c r="E48" s="28">
        <v>10956</v>
      </c>
      <c r="F48" s="28">
        <v>52520</v>
      </c>
      <c r="G48" s="28">
        <f>SUM(C48:F48)</f>
        <v>291596</v>
      </c>
      <c r="H48" s="7"/>
      <c r="I48" s="7"/>
    </row>
    <row r="49" spans="2:9" x14ac:dyDescent="0.25">
      <c r="B49" s="14" t="s">
        <v>42</v>
      </c>
      <c r="C49" s="28">
        <v>71713.665384000007</v>
      </c>
      <c r="D49" s="28">
        <v>26459.591922</v>
      </c>
      <c r="E49" s="28">
        <v>9238</v>
      </c>
      <c r="F49" s="12">
        <v>9849.8275589999994</v>
      </c>
      <c r="G49" s="11">
        <f>SUM(C49:F49)</f>
        <v>117261.08486500001</v>
      </c>
      <c r="H49" s="7"/>
      <c r="I49" s="7"/>
    </row>
    <row r="50" spans="2:9" x14ac:dyDescent="0.25">
      <c r="B50" s="70"/>
      <c r="C50" s="70"/>
      <c r="D50" s="70"/>
      <c r="E50" s="70"/>
      <c r="F50" s="70"/>
      <c r="G50" s="70"/>
      <c r="H50" s="70"/>
    </row>
    <row r="51" spans="2:9" ht="21" x14ac:dyDescent="0.35">
      <c r="B51" s="79" t="s">
        <v>43</v>
      </c>
      <c r="C51" s="80"/>
      <c r="D51" s="80"/>
      <c r="E51" s="80"/>
      <c r="F51" s="80"/>
      <c r="G51" s="81"/>
    </row>
    <row r="52" spans="2:9" x14ac:dyDescent="0.25">
      <c r="B52" s="89"/>
      <c r="C52" s="89"/>
      <c r="D52" s="89"/>
      <c r="E52" s="89"/>
      <c r="F52" s="89"/>
      <c r="G52" s="89"/>
      <c r="H52" s="89"/>
    </row>
    <row r="53" spans="2:9" x14ac:dyDescent="0.25">
      <c r="B53" s="69" t="s">
        <v>44</v>
      </c>
      <c r="C53" s="69"/>
      <c r="D53" s="69"/>
      <c r="E53" s="69"/>
      <c r="F53" s="69"/>
      <c r="G53" s="69"/>
    </row>
    <row r="54" spans="2:9" x14ac:dyDescent="0.25">
      <c r="B54" s="74" t="s">
        <v>45</v>
      </c>
      <c r="C54" s="74"/>
      <c r="D54" s="74"/>
      <c r="E54" s="74"/>
      <c r="F54" s="74"/>
      <c r="G54" s="74"/>
    </row>
    <row r="55" spans="2:9" x14ac:dyDescent="0.25">
      <c r="B55" s="14" t="s">
        <v>46</v>
      </c>
      <c r="C55" s="28">
        <v>64303</v>
      </c>
      <c r="D55" s="28">
        <v>3945</v>
      </c>
      <c r="E55" s="28">
        <v>764</v>
      </c>
      <c r="F55" s="28">
        <v>3339</v>
      </c>
      <c r="G55" s="28">
        <f t="shared" ref="G55:G71" si="0">SUM(C55:F55)</f>
        <v>72351</v>
      </c>
    </row>
    <row r="56" spans="2:9" x14ac:dyDescent="0.25">
      <c r="B56" s="14" t="s">
        <v>47</v>
      </c>
      <c r="C56" s="28">
        <v>43525.201083</v>
      </c>
      <c r="D56" s="28">
        <v>5891</v>
      </c>
      <c r="E56" s="28">
        <v>1406</v>
      </c>
      <c r="F56" s="28">
        <v>8203</v>
      </c>
      <c r="G56" s="28">
        <f t="shared" si="0"/>
        <v>59025.201083</v>
      </c>
    </row>
    <row r="57" spans="2:9" x14ac:dyDescent="0.25">
      <c r="B57" s="14" t="s">
        <v>48</v>
      </c>
      <c r="C57" s="28">
        <v>13.7670559693949</v>
      </c>
      <c r="D57" s="28">
        <v>39</v>
      </c>
      <c r="E57" s="28">
        <v>21</v>
      </c>
      <c r="F57" s="28">
        <v>32</v>
      </c>
      <c r="G57" s="28">
        <f>AVERAGE(C57:F57)</f>
        <v>26.441763992348726</v>
      </c>
    </row>
    <row r="58" spans="2:9" x14ac:dyDescent="0.25">
      <c r="B58" s="14" t="s">
        <v>49</v>
      </c>
      <c r="C58" s="28">
        <v>873438</v>
      </c>
      <c r="D58" s="28">
        <v>136866</v>
      </c>
      <c r="E58" s="97">
        <v>50327</v>
      </c>
      <c r="F58" s="28">
        <v>72679</v>
      </c>
      <c r="G58" s="28">
        <f t="shared" si="0"/>
        <v>1133310</v>
      </c>
    </row>
    <row r="59" spans="2:9" x14ac:dyDescent="0.25">
      <c r="B59" s="14" t="s">
        <v>50</v>
      </c>
      <c r="C59" s="28">
        <v>1725966.9839540001</v>
      </c>
      <c r="D59" s="28">
        <v>261466.23989699999</v>
      </c>
      <c r="E59" s="97">
        <v>111508.339834</v>
      </c>
      <c r="F59" s="28">
        <v>160310</v>
      </c>
      <c r="G59" s="11">
        <f t="shared" si="0"/>
        <v>2259251.5636849999</v>
      </c>
    </row>
    <row r="60" spans="2:9" x14ac:dyDescent="0.25">
      <c r="B60" s="74" t="s">
        <v>51</v>
      </c>
      <c r="C60" s="74"/>
      <c r="D60" s="74"/>
      <c r="E60" s="74"/>
      <c r="F60" s="74"/>
      <c r="G60" s="7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4" t="s">
        <v>52</v>
      </c>
      <c r="C66" s="74"/>
      <c r="D66" s="74"/>
      <c r="E66" s="74"/>
      <c r="F66" s="74"/>
      <c r="G66" s="74"/>
    </row>
    <row r="67" spans="2:8" x14ac:dyDescent="0.25">
      <c r="B67" s="14" t="s">
        <v>46</v>
      </c>
      <c r="C67" s="28">
        <v>6045</v>
      </c>
      <c r="D67" s="28">
        <v>1372</v>
      </c>
      <c r="E67" s="28">
        <v>898</v>
      </c>
      <c r="F67" s="28">
        <v>9358</v>
      </c>
      <c r="G67" s="28">
        <f t="shared" si="0"/>
        <v>17673</v>
      </c>
    </row>
    <row r="68" spans="2:8" x14ac:dyDescent="0.25">
      <c r="B68" s="14" t="s">
        <v>47</v>
      </c>
      <c r="C68" s="28">
        <v>4942.2245579999999</v>
      </c>
      <c r="D68" s="28">
        <v>1525</v>
      </c>
      <c r="E68" s="28">
        <v>892</v>
      </c>
      <c r="F68" s="28">
        <v>11433</v>
      </c>
      <c r="G68" s="28">
        <f t="shared" si="0"/>
        <v>18792.224558000002</v>
      </c>
    </row>
    <row r="69" spans="2:8" x14ac:dyDescent="0.25">
      <c r="B69" s="14" t="s">
        <v>48</v>
      </c>
      <c r="C69" s="28">
        <v>38.785442514474802</v>
      </c>
      <c r="D69" s="28">
        <v>55</v>
      </c>
      <c r="E69" s="28">
        <v>49</v>
      </c>
      <c r="F69" s="28">
        <v>38</v>
      </c>
      <c r="G69" s="28">
        <f>AVERAGE(C69:F69)</f>
        <v>45.196360628618699</v>
      </c>
    </row>
    <row r="70" spans="2:8" x14ac:dyDescent="0.25">
      <c r="B70" s="14" t="s">
        <v>49</v>
      </c>
      <c r="C70" s="28">
        <v>127677</v>
      </c>
      <c r="D70" s="28">
        <v>87109</v>
      </c>
      <c r="E70" s="28">
        <v>55572</v>
      </c>
      <c r="F70" s="28">
        <v>257857</v>
      </c>
      <c r="G70" s="28">
        <f t="shared" si="0"/>
        <v>528215</v>
      </c>
    </row>
    <row r="71" spans="2:8" x14ac:dyDescent="0.25">
      <c r="B71" s="14" t="s">
        <v>50</v>
      </c>
      <c r="C71" s="28">
        <v>126655.15160700001</v>
      </c>
      <c r="D71" s="28">
        <v>96992.698755000005</v>
      </c>
      <c r="E71" s="28">
        <v>57514.513072000002</v>
      </c>
      <c r="F71" s="28">
        <v>230572</v>
      </c>
      <c r="G71" s="11">
        <f t="shared" si="0"/>
        <v>511734.363434</v>
      </c>
    </row>
    <row r="72" spans="2:8" x14ac:dyDescent="0.25">
      <c r="B72" s="83" t="s">
        <v>53</v>
      </c>
      <c r="C72" s="84"/>
      <c r="D72" s="84"/>
      <c r="E72" s="84"/>
      <c r="F72" s="84"/>
      <c r="G72" s="85"/>
    </row>
    <row r="73" spans="2:8" x14ac:dyDescent="0.25">
      <c r="B73" s="18" t="s">
        <v>54</v>
      </c>
      <c r="C73" s="19">
        <v>70348</v>
      </c>
      <c r="D73" s="19">
        <v>5317</v>
      </c>
      <c r="E73" s="19">
        <v>1662</v>
      </c>
      <c r="F73" s="19">
        <v>12697</v>
      </c>
      <c r="G73" s="19">
        <f>SUM(C73:F73)</f>
        <v>90024</v>
      </c>
    </row>
    <row r="74" spans="2:8" x14ac:dyDescent="0.25">
      <c r="B74" s="18" t="s">
        <v>47</v>
      </c>
      <c r="C74" s="19">
        <v>48467.425641000002</v>
      </c>
      <c r="D74" s="19">
        <v>7416</v>
      </c>
      <c r="E74" s="19">
        <v>2298</v>
      </c>
      <c r="F74" s="19">
        <v>19636</v>
      </c>
      <c r="G74" s="22">
        <f>SUM(C74:F74)</f>
        <v>77817.425641000009</v>
      </c>
    </row>
    <row r="75" spans="2:8" x14ac:dyDescent="0.25">
      <c r="B75" s="18" t="s">
        <v>48</v>
      </c>
      <c r="C75" s="19">
        <v>15.916884630693099</v>
      </c>
      <c r="D75" s="19">
        <v>31.333333333333332</v>
      </c>
      <c r="E75" s="19">
        <v>70</v>
      </c>
      <c r="F75" s="19">
        <v>35</v>
      </c>
      <c r="G75" s="19">
        <f>AVERAGE(C75:F75)</f>
        <v>38.062554491006608</v>
      </c>
    </row>
    <row r="76" spans="2:8" x14ac:dyDescent="0.25">
      <c r="B76" s="18" t="s">
        <v>49</v>
      </c>
      <c r="C76" s="19">
        <v>1001115</v>
      </c>
      <c r="D76" s="19">
        <v>223975</v>
      </c>
      <c r="E76" s="19">
        <v>105899</v>
      </c>
      <c r="F76" s="19">
        <v>330536</v>
      </c>
      <c r="G76" s="19">
        <f>SUM(C76:F76)</f>
        <v>1661525</v>
      </c>
    </row>
    <row r="77" spans="2:8" x14ac:dyDescent="0.25">
      <c r="B77" s="18" t="s">
        <v>50</v>
      </c>
      <c r="C77" s="19">
        <v>1852622.1355610001</v>
      </c>
      <c r="D77" s="19">
        <v>358458.93865199998</v>
      </c>
      <c r="E77" s="19">
        <v>169022.85290599999</v>
      </c>
      <c r="F77" s="19">
        <v>390882</v>
      </c>
      <c r="G77" s="22">
        <f>SUM(C77:F77)</f>
        <v>2770985.9271189999</v>
      </c>
    </row>
    <row r="78" spans="2:8" x14ac:dyDescent="0.25">
      <c r="B78" s="70"/>
      <c r="C78" s="70"/>
      <c r="D78" s="70"/>
      <c r="E78" s="70"/>
      <c r="F78" s="70"/>
      <c r="G78" s="70"/>
      <c r="H78" s="70"/>
    </row>
    <row r="79" spans="2:8" x14ac:dyDescent="0.25">
      <c r="B79" s="75" t="s">
        <v>55</v>
      </c>
      <c r="C79" s="76"/>
      <c r="D79" s="76"/>
      <c r="E79" s="76"/>
      <c r="F79" s="76"/>
      <c r="G79" s="77"/>
    </row>
    <row r="80" spans="2:8" x14ac:dyDescent="0.25">
      <c r="B80" s="71" t="s">
        <v>45</v>
      </c>
      <c r="C80" s="72"/>
      <c r="D80" s="72"/>
      <c r="E80" s="72"/>
      <c r="F80" s="72"/>
      <c r="G80" s="7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8">
        <v>1022</v>
      </c>
      <c r="D84" s="28">
        <v>120</v>
      </c>
      <c r="E84" s="28">
        <v>6</v>
      </c>
      <c r="F84" s="24">
        <v>97</v>
      </c>
      <c r="G84" s="24">
        <f>SUM(C84:F84)</f>
        <v>1245</v>
      </c>
    </row>
    <row r="85" spans="2:7" x14ac:dyDescent="0.25">
      <c r="B85" s="14" t="s">
        <v>50</v>
      </c>
      <c r="C85" s="28">
        <v>22277.854886000001</v>
      </c>
      <c r="D85" s="28">
        <v>1506</v>
      </c>
      <c r="E85" s="28">
        <v>79</v>
      </c>
      <c r="F85" s="28">
        <v>1822.3465779999999</v>
      </c>
      <c r="G85" s="11">
        <f>SUM(C85:F85)</f>
        <v>25685.201464000002</v>
      </c>
    </row>
    <row r="86" spans="2:7" x14ac:dyDescent="0.25">
      <c r="B86" s="71" t="s">
        <v>51</v>
      </c>
      <c r="C86" s="72"/>
      <c r="D86" s="72"/>
      <c r="E86" s="72"/>
      <c r="F86" s="72"/>
      <c r="G86" s="7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1" t="s">
        <v>52</v>
      </c>
      <c r="C92" s="72"/>
      <c r="D92" s="72"/>
      <c r="E92" s="72"/>
      <c r="F92" s="72"/>
      <c r="G92" s="73"/>
    </row>
    <row r="93" spans="2:7" x14ac:dyDescent="0.25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33">
        <v>12</v>
      </c>
      <c r="D96" s="20">
        <v>0</v>
      </c>
      <c r="E96" s="33">
        <v>0</v>
      </c>
      <c r="F96" s="24">
        <v>7</v>
      </c>
      <c r="G96" s="28">
        <f>SUM(C96:F96)</f>
        <v>19</v>
      </c>
    </row>
    <row r="97" spans="2:8" x14ac:dyDescent="0.25">
      <c r="B97" s="14" t="s">
        <v>50</v>
      </c>
      <c r="C97" s="33">
        <v>190.20734899999999</v>
      </c>
      <c r="D97" s="20">
        <v>0</v>
      </c>
      <c r="E97" s="33">
        <v>0</v>
      </c>
      <c r="F97" s="24">
        <v>89.078497999999996</v>
      </c>
      <c r="G97" s="11">
        <f>SUM(C97:F97)</f>
        <v>279.28584699999999</v>
      </c>
    </row>
    <row r="98" spans="2:8" x14ac:dyDescent="0.25">
      <c r="B98" s="83" t="s">
        <v>56</v>
      </c>
      <c r="C98" s="84"/>
      <c r="D98" s="84"/>
      <c r="E98" s="84"/>
      <c r="F98" s="84"/>
      <c r="G98" s="8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1034</v>
      </c>
      <c r="D102" s="19">
        <v>120</v>
      </c>
      <c r="E102" s="19">
        <f>+E84</f>
        <v>6</v>
      </c>
      <c r="F102" s="27">
        <v>104</v>
      </c>
      <c r="G102" s="19">
        <f>SUM(C102:F102)</f>
        <v>1264</v>
      </c>
    </row>
    <row r="103" spans="2:8" x14ac:dyDescent="0.25">
      <c r="B103" s="18" t="s">
        <v>50</v>
      </c>
      <c r="C103" s="19">
        <f>+C97+C85</f>
        <v>22468.062235000001</v>
      </c>
      <c r="D103" s="19">
        <v>1506</v>
      </c>
      <c r="E103" s="19">
        <f>+E85</f>
        <v>79</v>
      </c>
      <c r="F103" s="19">
        <v>1911.425076</v>
      </c>
      <c r="G103" s="22">
        <f>SUM(C103:F103)</f>
        <v>25964.487311000001</v>
      </c>
    </row>
    <row r="104" spans="2:8" x14ac:dyDescent="0.25">
      <c r="B104" s="70"/>
      <c r="C104" s="70"/>
      <c r="D104" s="70"/>
      <c r="E104" s="70"/>
      <c r="F104" s="70"/>
      <c r="G104" s="70"/>
      <c r="H104" s="70"/>
    </row>
    <row r="105" spans="2:8" x14ac:dyDescent="0.25">
      <c r="B105" s="69" t="s">
        <v>57</v>
      </c>
      <c r="C105" s="69"/>
      <c r="D105" s="69"/>
      <c r="E105" s="69"/>
      <c r="F105" s="69"/>
      <c r="G105" s="69"/>
    </row>
    <row r="106" spans="2:8" x14ac:dyDescent="0.25">
      <c r="B106" s="74" t="s">
        <v>58</v>
      </c>
      <c r="C106" s="74"/>
      <c r="D106" s="74"/>
      <c r="E106" s="74"/>
      <c r="F106" s="74"/>
      <c r="G106" s="74"/>
    </row>
    <row r="107" spans="2:8" x14ac:dyDescent="0.25">
      <c r="B107" s="14" t="s">
        <v>59</v>
      </c>
      <c r="C107" s="38">
        <v>2.4412992509269635</v>
      </c>
      <c r="D107" s="13">
        <v>2.4476688867744887</v>
      </c>
      <c r="E107" s="31">
        <v>2.77</v>
      </c>
      <c r="F107" s="13">
        <v>2.54</v>
      </c>
      <c r="G107" s="13">
        <f>AVERAGE(C107:F107)</f>
        <v>2.5497420344253632</v>
      </c>
    </row>
    <row r="108" spans="2:8" x14ac:dyDescent="0.25">
      <c r="B108" s="14" t="s">
        <v>60</v>
      </c>
      <c r="C108" s="38">
        <v>2.2997209487739245</v>
      </c>
      <c r="D108" s="13">
        <v>2.4500000000000308</v>
      </c>
      <c r="E108" s="32">
        <v>2.82</v>
      </c>
      <c r="F108" s="13">
        <v>2.59</v>
      </c>
      <c r="G108" s="13">
        <f>AVERAGE(C108:F108)</f>
        <v>2.5399302371934889</v>
      </c>
    </row>
    <row r="109" spans="2:8" x14ac:dyDescent="0.25">
      <c r="B109" s="14" t="s">
        <v>61</v>
      </c>
      <c r="C109" s="38">
        <v>2.192147373613663</v>
      </c>
      <c r="D109" s="13">
        <v>2.6102118003025523</v>
      </c>
      <c r="E109" s="31">
        <v>2.93</v>
      </c>
      <c r="F109" s="13">
        <v>2.69</v>
      </c>
      <c r="G109" s="13">
        <f>AVERAGE(C109:F109)</f>
        <v>2.6055897934790537</v>
      </c>
    </row>
    <row r="110" spans="2:8" x14ac:dyDescent="0.25">
      <c r="B110" s="74" t="s">
        <v>62</v>
      </c>
      <c r="C110" s="74"/>
      <c r="D110" s="74"/>
      <c r="E110" s="74"/>
      <c r="F110" s="74"/>
      <c r="G110" s="74"/>
    </row>
    <row r="111" spans="2:8" x14ac:dyDescent="0.25">
      <c r="B111" s="14" t="s">
        <v>59</v>
      </c>
      <c r="C111" s="13">
        <v>2.3000000000000003</v>
      </c>
      <c r="D111" s="13">
        <v>1.5999999999999999</v>
      </c>
      <c r="E111" s="31">
        <v>1.6</v>
      </c>
      <c r="F111" s="32">
        <v>1.99</v>
      </c>
      <c r="G111" s="13">
        <f>AVERAGE(C111:F111)</f>
        <v>1.8725000000000001</v>
      </c>
    </row>
    <row r="112" spans="2:8" x14ac:dyDescent="0.25">
      <c r="B112" s="14" t="s">
        <v>60</v>
      </c>
      <c r="C112" s="13">
        <v>2.0999999999999988</v>
      </c>
      <c r="D112" s="13">
        <v>2.1599999999999993</v>
      </c>
      <c r="E112" s="31">
        <v>2.1</v>
      </c>
      <c r="F112" s="13">
        <v>2.1599999999999993</v>
      </c>
      <c r="G112" s="13">
        <f>AVERAGE(C112:F112)</f>
        <v>2.129999999999999</v>
      </c>
    </row>
    <row r="113" spans="2:9" x14ac:dyDescent="0.25">
      <c r="B113" s="14" t="s">
        <v>61</v>
      </c>
      <c r="C113" s="13">
        <v>2.1498927038626565</v>
      </c>
      <c r="D113" s="13">
        <v>2.1600000000000028</v>
      </c>
      <c r="E113" s="31">
        <v>2.6</v>
      </c>
      <c r="F113" s="13">
        <v>2.19</v>
      </c>
      <c r="G113" s="13">
        <f>AVERAGE(C113:F113)</f>
        <v>2.2749731759656648</v>
      </c>
    </row>
    <row r="114" spans="2:9" x14ac:dyDescent="0.25">
      <c r="B114" s="70"/>
      <c r="C114" s="70"/>
      <c r="D114" s="70"/>
      <c r="E114" s="70"/>
      <c r="F114" s="70"/>
      <c r="G114" s="70"/>
      <c r="H114" s="70"/>
      <c r="I114" s="70"/>
    </row>
    <row r="115" spans="2:9" x14ac:dyDescent="0.25">
      <c r="B115" s="74" t="s">
        <v>63</v>
      </c>
      <c r="C115" s="74"/>
      <c r="D115" s="74"/>
      <c r="E115" s="74"/>
      <c r="F115" s="74"/>
      <c r="G115" s="74"/>
    </row>
    <row r="116" spans="2:9" x14ac:dyDescent="0.25">
      <c r="B116" s="14" t="s">
        <v>59</v>
      </c>
      <c r="C116" s="13">
        <v>1.5237861466038951</v>
      </c>
      <c r="D116" s="13">
        <v>1.7900000000000023</v>
      </c>
      <c r="E116" s="32">
        <v>1.93</v>
      </c>
      <c r="F116" s="13">
        <v>1.7824472573839727</v>
      </c>
      <c r="G116" s="13">
        <f>AVERAGE(C116:F116)</f>
        <v>1.7565583509969676</v>
      </c>
    </row>
    <row r="117" spans="2:9" x14ac:dyDescent="0.25">
      <c r="B117" s="14" t="s">
        <v>60</v>
      </c>
      <c r="C117" s="13">
        <v>1.7576418318523954</v>
      </c>
      <c r="D117" s="13">
        <v>1.7824472573839727</v>
      </c>
      <c r="E117" s="32">
        <v>1.93</v>
      </c>
      <c r="F117" s="32">
        <v>1.81</v>
      </c>
      <c r="G117" s="13">
        <f>AVERAGE(C117:F117)</f>
        <v>1.820022272309092</v>
      </c>
    </row>
    <row r="118" spans="2:9" x14ac:dyDescent="0.25">
      <c r="B118" s="14" t="s">
        <v>61</v>
      </c>
      <c r="C118" s="13">
        <v>1.7208648033799512</v>
      </c>
      <c r="D118" s="13">
        <v>1.7886434255399462</v>
      </c>
      <c r="E118" s="32">
        <v>2.2599999999999998</v>
      </c>
      <c r="F118" s="32">
        <v>2.04</v>
      </c>
      <c r="G118" s="13">
        <f>AVERAGE(C118:F118)</f>
        <v>1.9523770572299743</v>
      </c>
    </row>
    <row r="119" spans="2:9" x14ac:dyDescent="0.25">
      <c r="B119" s="71" t="s">
        <v>64</v>
      </c>
      <c r="C119" s="72"/>
      <c r="D119" s="72"/>
      <c r="E119" s="72"/>
      <c r="F119" s="72"/>
      <c r="G119" s="73"/>
    </row>
    <row r="120" spans="2:9" x14ac:dyDescent="0.25">
      <c r="B120" s="14" t="s">
        <v>59</v>
      </c>
      <c r="C120" s="13">
        <v>0</v>
      </c>
      <c r="D120" s="13">
        <v>1.43</v>
      </c>
      <c r="E120" s="31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31">
        <v>0</v>
      </c>
      <c r="F121" s="13">
        <v>1.53</v>
      </c>
      <c r="G121" s="13">
        <f>AVERAGE(C121:F121)</f>
        <v>1.075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1.95</v>
      </c>
      <c r="F122" s="13">
        <v>1.74</v>
      </c>
      <c r="G122" s="13">
        <f>AVERAGE(C122:F122)</f>
        <v>1.6375</v>
      </c>
    </row>
    <row r="123" spans="2:9" x14ac:dyDescent="0.25">
      <c r="B123" s="70"/>
      <c r="C123" s="70"/>
      <c r="D123" s="70"/>
      <c r="E123" s="70"/>
      <c r="F123" s="70"/>
      <c r="G123" s="70"/>
      <c r="H123" s="70"/>
    </row>
    <row r="124" spans="2:9" x14ac:dyDescent="0.25">
      <c r="B124" s="75" t="s">
        <v>65</v>
      </c>
      <c r="C124" s="76"/>
      <c r="D124" s="76"/>
      <c r="E124" s="76"/>
      <c r="F124" s="76"/>
      <c r="G124" s="7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5" t="s">
        <v>67</v>
      </c>
      <c r="C126" s="76"/>
      <c r="D126" s="76"/>
      <c r="E126" s="76"/>
      <c r="F126" s="76"/>
      <c r="G126" s="77"/>
    </row>
    <row r="127" spans="2:9" x14ac:dyDescent="0.25">
      <c r="B127" s="3" t="s">
        <v>68</v>
      </c>
      <c r="C127" s="39">
        <v>1.66</v>
      </c>
      <c r="D127" s="39">
        <v>2.0462910000000001</v>
      </c>
      <c r="E127" s="34">
        <v>2.1196514684745131</v>
      </c>
      <c r="F127" s="4">
        <v>0</v>
      </c>
      <c r="G127" s="11">
        <f>AVERAGE(C127:E127)</f>
        <v>1.9419808228248379</v>
      </c>
    </row>
    <row r="128" spans="2:9" x14ac:dyDescent="0.25">
      <c r="B128" s="82"/>
      <c r="C128" s="82"/>
      <c r="D128" s="82"/>
      <c r="E128" s="82"/>
      <c r="F128" s="82"/>
      <c r="G128" s="82"/>
      <c r="H128" s="82"/>
    </row>
    <row r="129" spans="2:9" x14ac:dyDescent="0.25">
      <c r="B129" s="69" t="s">
        <v>69</v>
      </c>
      <c r="C129" s="69"/>
      <c r="D129" s="69"/>
      <c r="E129" s="69"/>
      <c r="F129" s="69"/>
      <c r="G129" s="69"/>
    </row>
    <row r="130" spans="2:9" x14ac:dyDescent="0.25">
      <c r="B130" s="14" t="s">
        <v>70</v>
      </c>
      <c r="C130" s="28">
        <v>249824</v>
      </c>
      <c r="D130" s="28">
        <v>3558</v>
      </c>
      <c r="E130" s="28">
        <v>8561</v>
      </c>
      <c r="F130" s="28">
        <v>803</v>
      </c>
      <c r="G130" s="28">
        <f>SUM(C130:F130)</f>
        <v>262746</v>
      </c>
    </row>
    <row r="131" spans="2:9" x14ac:dyDescent="0.25">
      <c r="B131" s="14" t="s">
        <v>71</v>
      </c>
      <c r="C131" s="28">
        <v>164367.92766799999</v>
      </c>
      <c r="D131" s="28">
        <v>3906</v>
      </c>
      <c r="E131" s="28">
        <v>1111</v>
      </c>
      <c r="F131" s="28">
        <v>833.18344000000002</v>
      </c>
      <c r="G131" s="11">
        <f>SUM(C131:F131)</f>
        <v>170218.11110799998</v>
      </c>
    </row>
    <row r="132" spans="2:9" x14ac:dyDescent="0.25">
      <c r="B132" s="70"/>
      <c r="C132" s="70"/>
      <c r="D132" s="70"/>
      <c r="E132" s="70"/>
      <c r="F132" s="70"/>
      <c r="G132" s="70"/>
      <c r="H132" s="70"/>
    </row>
    <row r="133" spans="2:9" x14ac:dyDescent="0.25">
      <c r="B133" s="69" t="s">
        <v>72</v>
      </c>
      <c r="C133" s="69"/>
      <c r="D133" s="69"/>
      <c r="E133" s="69"/>
      <c r="F133" s="69"/>
      <c r="G133" s="69"/>
    </row>
    <row r="134" spans="2:9" x14ac:dyDescent="0.25">
      <c r="B134" s="14" t="s">
        <v>73</v>
      </c>
      <c r="C134" s="28">
        <v>493856</v>
      </c>
      <c r="D134" s="28">
        <v>355643</v>
      </c>
      <c r="E134" s="28">
        <v>119330</v>
      </c>
      <c r="F134" s="28">
        <v>290470</v>
      </c>
      <c r="G134" s="28">
        <f>SUM(C134:F134)</f>
        <v>1259299</v>
      </c>
    </row>
    <row r="135" spans="2:9" x14ac:dyDescent="0.25">
      <c r="B135" s="70"/>
      <c r="C135" s="70"/>
      <c r="D135" s="70"/>
      <c r="E135" s="70"/>
      <c r="F135" s="70"/>
      <c r="G135" s="70"/>
      <c r="H135" s="70"/>
    </row>
    <row r="136" spans="2:9" ht="21" x14ac:dyDescent="0.35">
      <c r="B136" s="78" t="s">
        <v>74</v>
      </c>
      <c r="C136" s="78"/>
      <c r="D136" s="78"/>
      <c r="E136" s="78"/>
      <c r="F136" s="78"/>
      <c r="G136" s="78"/>
    </row>
    <row r="137" spans="2:9" x14ac:dyDescent="0.25">
      <c r="B137" s="69" t="s">
        <v>75</v>
      </c>
      <c r="C137" s="69"/>
      <c r="D137" s="69"/>
      <c r="E137" s="69"/>
      <c r="F137" s="69"/>
      <c r="G137" s="69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15601</v>
      </c>
      <c r="G138" s="28">
        <f>SUM(C138:F138)</f>
        <v>15601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145</v>
      </c>
      <c r="G139" s="28">
        <f>SUM(C139:F139)</f>
        <v>145</v>
      </c>
      <c r="H139" s="7"/>
      <c r="I139" s="7"/>
    </row>
    <row r="140" spans="2:9" x14ac:dyDescent="0.25">
      <c r="B140" s="70"/>
      <c r="C140" s="70"/>
      <c r="D140" s="70"/>
      <c r="E140" s="70"/>
      <c r="F140" s="70"/>
      <c r="G140" s="70"/>
      <c r="H140" s="70"/>
      <c r="I140" s="7"/>
    </row>
    <row r="141" spans="2:9" x14ac:dyDescent="0.25">
      <c r="B141" s="70"/>
      <c r="C141" s="70"/>
      <c r="D141" s="70"/>
      <c r="E141" s="70"/>
      <c r="F141" s="70"/>
      <c r="G141" s="70"/>
      <c r="H141" s="70"/>
    </row>
    <row r="142" spans="2:9" ht="21" x14ac:dyDescent="0.35">
      <c r="B142" s="79" t="s">
        <v>78</v>
      </c>
      <c r="C142" s="80"/>
      <c r="D142" s="80"/>
      <c r="E142" s="80"/>
      <c r="F142" s="80"/>
      <c r="G142" s="81"/>
    </row>
    <row r="143" spans="2:9" x14ac:dyDescent="0.25">
      <c r="B143" s="75" t="s">
        <v>79</v>
      </c>
      <c r="C143" s="76"/>
      <c r="D143" s="76"/>
      <c r="E143" s="76"/>
      <c r="F143" s="76"/>
      <c r="G143" s="77"/>
    </row>
    <row r="144" spans="2:9" x14ac:dyDescent="0.25">
      <c r="B144" s="70"/>
      <c r="C144" s="70"/>
      <c r="D144" s="70"/>
      <c r="E144" s="70"/>
      <c r="F144" s="70"/>
      <c r="G144" s="70"/>
      <c r="H144" s="70"/>
    </row>
    <row r="145" spans="2:8" x14ac:dyDescent="0.25">
      <c r="B145" s="74" t="s">
        <v>80</v>
      </c>
      <c r="C145" s="74"/>
      <c r="D145" s="74"/>
      <c r="E145" s="74"/>
      <c r="F145" s="74"/>
      <c r="G145" s="74"/>
    </row>
    <row r="146" spans="2:8" x14ac:dyDescent="0.25">
      <c r="B146" s="14" t="s">
        <v>81</v>
      </c>
      <c r="C146" s="28">
        <v>0</v>
      </c>
      <c r="D146" s="28">
        <v>5789</v>
      </c>
      <c r="E146" s="36">
        <v>0</v>
      </c>
      <c r="F146" s="28">
        <v>1925</v>
      </c>
      <c r="G146" s="28">
        <f>SUM(C146:F146)</f>
        <v>7714</v>
      </c>
    </row>
    <row r="147" spans="2:8" x14ac:dyDescent="0.25">
      <c r="B147" s="14" t="s">
        <v>82</v>
      </c>
      <c r="C147" s="28">
        <v>0</v>
      </c>
      <c r="D147" s="62">
        <v>126.982</v>
      </c>
      <c r="E147" s="36">
        <v>0</v>
      </c>
      <c r="F147" s="28">
        <v>22.428000000000001</v>
      </c>
      <c r="G147" s="11">
        <f>SUM(C147:F147)</f>
        <v>149.41</v>
      </c>
    </row>
    <row r="148" spans="2:8" x14ac:dyDescent="0.25">
      <c r="B148" s="70"/>
      <c r="C148" s="70"/>
      <c r="D148" s="70"/>
      <c r="E148" s="70"/>
      <c r="F148" s="70"/>
      <c r="G148" s="70"/>
      <c r="H148" s="70"/>
    </row>
    <row r="149" spans="2:8" x14ac:dyDescent="0.25">
      <c r="B149" s="74" t="s">
        <v>83</v>
      </c>
      <c r="C149" s="74"/>
      <c r="D149" s="74"/>
      <c r="E149" s="74"/>
      <c r="F149" s="74"/>
      <c r="G149" s="74"/>
    </row>
    <row r="150" spans="2:8" x14ac:dyDescent="0.25">
      <c r="B150" s="14" t="s">
        <v>84</v>
      </c>
      <c r="C150" s="28">
        <v>0</v>
      </c>
      <c r="D150" s="28">
        <v>0</v>
      </c>
      <c r="E150" s="28">
        <v>0</v>
      </c>
      <c r="F150" s="28">
        <v>0</v>
      </c>
      <c r="G150" s="28">
        <f>SUM(C150:F150)</f>
        <v>0</v>
      </c>
      <c r="H150"/>
    </row>
    <row r="151" spans="2:8" x14ac:dyDescent="0.25">
      <c r="B151" s="14" t="s">
        <v>85</v>
      </c>
      <c r="C151" s="28">
        <v>0</v>
      </c>
      <c r="D151" s="28">
        <v>0</v>
      </c>
      <c r="E151" s="28">
        <v>0</v>
      </c>
      <c r="F151" s="28">
        <v>0</v>
      </c>
      <c r="G151" s="11">
        <f>SUM(C151:F151)</f>
        <v>0</v>
      </c>
      <c r="H151"/>
    </row>
    <row r="152" spans="2:8" x14ac:dyDescent="0.25">
      <c r="B152" s="70"/>
      <c r="C152" s="70"/>
      <c r="D152" s="70"/>
      <c r="E152" s="70"/>
      <c r="F152" s="70"/>
      <c r="G152" s="70"/>
      <c r="H152" s="70"/>
    </row>
    <row r="153" spans="2:8" x14ac:dyDescent="0.25">
      <c r="B153" s="74" t="s">
        <v>86</v>
      </c>
      <c r="C153" s="74"/>
      <c r="D153" s="74"/>
      <c r="E153" s="74"/>
      <c r="F153" s="74"/>
      <c r="G153" s="74"/>
    </row>
    <row r="154" spans="2:8" x14ac:dyDescent="0.25">
      <c r="B154" s="14" t="s">
        <v>87</v>
      </c>
      <c r="C154" s="14">
        <v>0</v>
      </c>
      <c r="D154" s="28">
        <v>267</v>
      </c>
      <c r="E154" s="36">
        <v>0</v>
      </c>
      <c r="F154" s="35">
        <v>1</v>
      </c>
      <c r="G154" s="28">
        <f>SUM(C154:F154)</f>
        <v>268</v>
      </c>
      <c r="H154"/>
    </row>
    <row r="155" spans="2:8" x14ac:dyDescent="0.25">
      <c r="B155" s="14" t="s">
        <v>88</v>
      </c>
      <c r="C155" s="11">
        <v>0</v>
      </c>
      <c r="D155" s="28">
        <v>3.86</v>
      </c>
      <c r="E155" s="36">
        <v>0</v>
      </c>
      <c r="F155" s="30">
        <v>0.02</v>
      </c>
      <c r="G155" s="11">
        <f>SUM(C155:F155)</f>
        <v>3.88</v>
      </c>
      <c r="H155"/>
    </row>
    <row r="156" spans="2:8" x14ac:dyDescent="0.25">
      <c r="B156" s="70"/>
      <c r="C156" s="70"/>
      <c r="D156" s="70"/>
      <c r="E156" s="70"/>
      <c r="F156" s="70"/>
      <c r="G156" s="70"/>
      <c r="H156" s="70"/>
    </row>
    <row r="157" spans="2:8" x14ac:dyDescent="0.25">
      <c r="B157" s="71" t="s">
        <v>89</v>
      </c>
      <c r="C157" s="72"/>
      <c r="D157" s="72"/>
      <c r="E157" s="72"/>
      <c r="F157" s="72"/>
      <c r="G157" s="73"/>
    </row>
    <row r="158" spans="2:8" x14ac:dyDescent="0.25">
      <c r="B158" s="18" t="s">
        <v>90</v>
      </c>
      <c r="C158" s="19">
        <v>0</v>
      </c>
      <c r="D158" s="46">
        <v>6056</v>
      </c>
      <c r="E158" s="19">
        <v>0</v>
      </c>
      <c r="F158" s="19">
        <v>1926</v>
      </c>
      <c r="G158" s="19">
        <f>SUM(C158:F158)</f>
        <v>7982</v>
      </c>
    </row>
    <row r="159" spans="2:8" x14ac:dyDescent="0.25">
      <c r="B159" s="18" t="s">
        <v>91</v>
      </c>
      <c r="C159" s="19">
        <v>0</v>
      </c>
      <c r="D159" s="46">
        <v>130.84200000000001</v>
      </c>
      <c r="E159" s="19">
        <v>0</v>
      </c>
      <c r="F159" s="19">
        <v>22.448</v>
      </c>
      <c r="G159" s="22">
        <f>SUM(C159:F159)</f>
        <v>153.29000000000002</v>
      </c>
    </row>
    <row r="160" spans="2:8" x14ac:dyDescent="0.25">
      <c r="B160" s="70"/>
      <c r="C160" s="70"/>
      <c r="D160" s="70"/>
      <c r="E160" s="70"/>
      <c r="F160" s="70"/>
      <c r="G160" s="70"/>
      <c r="H160" s="70"/>
    </row>
    <row r="161" spans="2:8" x14ac:dyDescent="0.25">
      <c r="B161" s="69" t="s">
        <v>92</v>
      </c>
      <c r="C161" s="69"/>
      <c r="D161" s="69"/>
      <c r="E161" s="69"/>
      <c r="F161" s="69"/>
      <c r="G161" s="69"/>
    </row>
    <row r="162" spans="2:8" x14ac:dyDescent="0.25">
      <c r="B162" s="14" t="s">
        <v>87</v>
      </c>
      <c r="C162" s="28">
        <v>3170</v>
      </c>
      <c r="D162" s="28">
        <v>33975</v>
      </c>
      <c r="E162" s="28">
        <v>4363</v>
      </c>
      <c r="F162" s="28">
        <v>18468</v>
      </c>
      <c r="G162" s="28">
        <f>SUM(C162:F162)</f>
        <v>59976</v>
      </c>
    </row>
    <row r="163" spans="2:8" x14ac:dyDescent="0.25">
      <c r="B163" s="14" t="s">
        <v>88</v>
      </c>
      <c r="C163" s="28">
        <v>72.191310999999999</v>
      </c>
      <c r="D163" s="28">
        <v>177.63373599999997</v>
      </c>
      <c r="E163" s="28">
        <v>58</v>
      </c>
      <c r="F163" s="28">
        <v>121.778583</v>
      </c>
      <c r="G163" s="11">
        <f>SUM(C163:F163)</f>
        <v>429.60362999999995</v>
      </c>
    </row>
    <row r="164" spans="2:8" x14ac:dyDescent="0.25">
      <c r="B164" s="70"/>
      <c r="C164" s="70"/>
      <c r="D164" s="70"/>
      <c r="E164" s="70"/>
      <c r="F164" s="70"/>
      <c r="G164" s="70"/>
    </row>
    <row r="165" spans="2:8" x14ac:dyDescent="0.25">
      <c r="B165" s="75" t="s">
        <v>93</v>
      </c>
      <c r="C165" s="76"/>
      <c r="D165" s="76"/>
      <c r="E165" s="76"/>
      <c r="F165" s="76"/>
      <c r="G165" s="77"/>
    </row>
    <row r="166" spans="2:8" x14ac:dyDescent="0.25">
      <c r="B166" s="71" t="s">
        <v>94</v>
      </c>
      <c r="C166" s="72"/>
      <c r="D166" s="72"/>
      <c r="E166" s="72"/>
      <c r="F166" s="72"/>
      <c r="G166" s="73"/>
    </row>
    <row r="167" spans="2:8" x14ac:dyDescent="0.25">
      <c r="B167" s="14" t="s">
        <v>95</v>
      </c>
      <c r="C167" s="28">
        <v>354</v>
      </c>
      <c r="D167" s="28">
        <v>3215</v>
      </c>
      <c r="E167" s="28">
        <v>90</v>
      </c>
      <c r="F167" s="14">
        <v>553</v>
      </c>
      <c r="G167" s="28">
        <f>SUM(C167:F167)</f>
        <v>4212</v>
      </c>
    </row>
    <row r="168" spans="2:8" x14ac:dyDescent="0.25">
      <c r="B168" s="14" t="s">
        <v>96</v>
      </c>
      <c r="C168" s="28">
        <v>8.85</v>
      </c>
      <c r="D168" s="28">
        <v>74.322000000000003</v>
      </c>
      <c r="E168" s="28">
        <v>2.17</v>
      </c>
      <c r="F168" s="28">
        <v>19.747</v>
      </c>
      <c r="G168" s="11">
        <f>SUM(C168:F168)</f>
        <v>105.089</v>
      </c>
    </row>
    <row r="169" spans="2:8" x14ac:dyDescent="0.25">
      <c r="B169" s="70"/>
      <c r="C169" s="70"/>
      <c r="D169" s="70"/>
      <c r="E169" s="70"/>
      <c r="F169" s="70"/>
      <c r="G169" s="70"/>
    </row>
    <row r="170" spans="2:8" x14ac:dyDescent="0.25">
      <c r="B170" s="71" t="s">
        <v>97</v>
      </c>
      <c r="C170" s="72"/>
      <c r="D170" s="72"/>
      <c r="E170" s="72"/>
      <c r="F170" s="72"/>
      <c r="G170" s="73"/>
    </row>
    <row r="171" spans="2:8" x14ac:dyDescent="0.25">
      <c r="B171" s="14" t="s">
        <v>98</v>
      </c>
      <c r="C171" s="28">
        <v>1598</v>
      </c>
      <c r="D171" s="28">
        <v>594</v>
      </c>
      <c r="E171" s="28">
        <v>151</v>
      </c>
      <c r="F171" s="14">
        <v>465</v>
      </c>
      <c r="G171" s="28">
        <f>SUM(C171:F171)</f>
        <v>2808</v>
      </c>
    </row>
    <row r="172" spans="2:8" x14ac:dyDescent="0.25">
      <c r="B172" s="14" t="s">
        <v>96</v>
      </c>
      <c r="C172" s="28">
        <v>35.155999999999999</v>
      </c>
      <c r="D172" s="28">
        <v>12.263999999999999</v>
      </c>
      <c r="E172" s="28">
        <v>3.7</v>
      </c>
      <c r="F172" s="28">
        <v>10.176</v>
      </c>
      <c r="G172" s="11">
        <f>SUM(C172:F172)</f>
        <v>61.296000000000006</v>
      </c>
    </row>
    <row r="173" spans="2:8" x14ac:dyDescent="0.25">
      <c r="B173" s="70"/>
      <c r="C173" s="70"/>
      <c r="D173" s="70"/>
      <c r="E173" s="70"/>
      <c r="F173" s="70"/>
      <c r="G173" s="70"/>
      <c r="H173" s="70"/>
    </row>
    <row r="174" spans="2:8" x14ac:dyDescent="0.25">
      <c r="B174" s="71" t="s">
        <v>99</v>
      </c>
      <c r="C174" s="72"/>
      <c r="D174" s="72"/>
      <c r="E174" s="72"/>
      <c r="F174" s="72"/>
      <c r="G174" s="73"/>
    </row>
    <row r="175" spans="2:8" x14ac:dyDescent="0.25">
      <c r="B175" s="14" t="s">
        <v>98</v>
      </c>
      <c r="C175" s="28">
        <v>177</v>
      </c>
      <c r="D175" s="28">
        <v>272</v>
      </c>
      <c r="E175" s="28">
        <v>81</v>
      </c>
      <c r="F175" s="14">
        <v>35</v>
      </c>
      <c r="G175" s="28">
        <f>SUM(C175:F175)</f>
        <v>565</v>
      </c>
    </row>
    <row r="176" spans="2:8" x14ac:dyDescent="0.25">
      <c r="B176" s="14" t="s">
        <v>96</v>
      </c>
      <c r="C176" s="28">
        <v>12.39</v>
      </c>
      <c r="D176" s="28">
        <v>28.8</v>
      </c>
      <c r="E176" s="28">
        <v>5.0970000000000004</v>
      </c>
      <c r="F176" s="28">
        <v>3.57</v>
      </c>
      <c r="G176" s="11">
        <f>SUM(C176:F176)</f>
        <v>49.856999999999999</v>
      </c>
    </row>
    <row r="177" spans="2:8" x14ac:dyDescent="0.25">
      <c r="B177" s="70"/>
      <c r="C177" s="70"/>
      <c r="D177" s="70"/>
      <c r="E177" s="70"/>
      <c r="F177" s="70"/>
      <c r="G177" s="70"/>
      <c r="H177" s="70"/>
    </row>
    <row r="178" spans="2:8" x14ac:dyDescent="0.25">
      <c r="B178" s="71" t="s">
        <v>100</v>
      </c>
      <c r="C178" s="72"/>
      <c r="D178" s="72"/>
      <c r="E178" s="72"/>
      <c r="F178" s="72"/>
      <c r="G178" s="73"/>
    </row>
    <row r="179" spans="2:8" x14ac:dyDescent="0.25">
      <c r="B179" s="14" t="s">
        <v>98</v>
      </c>
      <c r="C179" s="28">
        <v>366</v>
      </c>
      <c r="D179" s="28">
        <v>173492</v>
      </c>
      <c r="E179" s="28">
        <v>0</v>
      </c>
      <c r="F179" s="28">
        <v>0</v>
      </c>
      <c r="G179" s="28">
        <f>SUM(C179:F179)</f>
        <v>173858</v>
      </c>
    </row>
    <row r="180" spans="2:8" x14ac:dyDescent="0.25">
      <c r="B180" s="14" t="s">
        <v>96</v>
      </c>
      <c r="C180" s="28">
        <v>11.31</v>
      </c>
      <c r="D180" s="28">
        <v>2483.7214503428795</v>
      </c>
      <c r="E180" s="28">
        <v>0</v>
      </c>
      <c r="F180" s="28">
        <v>0</v>
      </c>
      <c r="G180" s="11">
        <f>SUM(C180:F180)</f>
        <v>2495.0314503428795</v>
      </c>
    </row>
    <row r="181" spans="2:8" x14ac:dyDescent="0.25">
      <c r="B181" s="70"/>
      <c r="C181" s="70"/>
      <c r="D181" s="70"/>
      <c r="E181" s="70"/>
      <c r="F181" s="70"/>
      <c r="G181" s="70"/>
      <c r="H181" s="70"/>
    </row>
    <row r="182" spans="2:8" x14ac:dyDescent="0.25">
      <c r="B182" s="69" t="s">
        <v>101</v>
      </c>
      <c r="C182" s="69"/>
      <c r="D182" s="69"/>
      <c r="E182" s="69"/>
      <c r="F182" s="69"/>
      <c r="G182" s="69"/>
    </row>
    <row r="183" spans="2:8" x14ac:dyDescent="0.25">
      <c r="B183" s="18" t="s">
        <v>102</v>
      </c>
      <c r="C183" s="19">
        <f>+C179+C175+C171+C167</f>
        <v>2495</v>
      </c>
      <c r="D183" s="46">
        <v>177573</v>
      </c>
      <c r="E183" s="19">
        <v>322</v>
      </c>
      <c r="F183" s="19">
        <f>+F179+F175+F171+F167</f>
        <v>1053</v>
      </c>
      <c r="G183" s="19">
        <f>SUM(C183:F183)</f>
        <v>181443</v>
      </c>
    </row>
    <row r="184" spans="2:8" x14ac:dyDescent="0.25">
      <c r="B184" s="18" t="s">
        <v>103</v>
      </c>
      <c r="C184" s="19">
        <f>+C180+C176+C172+C168</f>
        <v>67.706000000000003</v>
      </c>
      <c r="D184" s="46">
        <v>2599.3174503428795</v>
      </c>
      <c r="E184" s="19">
        <v>10.967000000000001</v>
      </c>
      <c r="F184" s="19">
        <f>+F180+F176+F172+F168</f>
        <v>33.493000000000002</v>
      </c>
      <c r="G184" s="22">
        <f>SUM(C184:F184)</f>
        <v>2711.4834503428797</v>
      </c>
    </row>
    <row r="185" spans="2:8" x14ac:dyDescent="0.25">
      <c r="B185" s="70"/>
      <c r="C185" s="70"/>
      <c r="D185" s="70"/>
      <c r="E185" s="70"/>
      <c r="F185" s="70"/>
      <c r="G185" s="70"/>
      <c r="H185" s="70"/>
    </row>
    <row r="186" spans="2:8" x14ac:dyDescent="0.25">
      <c r="B186" s="69" t="s">
        <v>104</v>
      </c>
      <c r="C186" s="69"/>
      <c r="D186" s="69"/>
      <c r="E186" s="69"/>
      <c r="F186" s="69"/>
      <c r="G186" s="69"/>
    </row>
    <row r="187" spans="2:8" x14ac:dyDescent="0.25">
      <c r="B187" s="14" t="s">
        <v>105</v>
      </c>
      <c r="C187" s="28">
        <v>3428</v>
      </c>
      <c r="D187" s="28">
        <v>2931</v>
      </c>
      <c r="E187" s="28">
        <v>83</v>
      </c>
      <c r="F187" s="28">
        <v>21447</v>
      </c>
      <c r="G187" s="28">
        <f>SUM(C187:F187)</f>
        <v>27889</v>
      </c>
    </row>
    <row r="188" spans="2:8" x14ac:dyDescent="0.25">
      <c r="B188" s="14" t="s">
        <v>106</v>
      </c>
      <c r="C188" s="28">
        <v>30.01671</v>
      </c>
      <c r="D188" s="28">
        <v>122.36068400000001</v>
      </c>
      <c r="E188" s="28">
        <v>3.3</v>
      </c>
      <c r="F188" s="28">
        <v>177.71958299999997</v>
      </c>
      <c r="G188" s="11">
        <f>SUM(C188:F188)</f>
        <v>333.39697699999999</v>
      </c>
    </row>
    <row r="189" spans="2:8" x14ac:dyDescent="0.25">
      <c r="B189" s="70"/>
      <c r="C189" s="70"/>
      <c r="D189" s="70"/>
      <c r="E189" s="70"/>
      <c r="F189" s="70"/>
      <c r="G189" s="70"/>
      <c r="H189" s="70"/>
    </row>
    <row r="190" spans="2:8" x14ac:dyDescent="0.25">
      <c r="B190" s="69" t="s">
        <v>107</v>
      </c>
      <c r="C190" s="69"/>
      <c r="D190" s="69"/>
      <c r="E190" s="69"/>
      <c r="F190" s="69"/>
      <c r="G190" s="69"/>
    </row>
    <row r="191" spans="2:8" x14ac:dyDescent="0.25">
      <c r="B191" s="18" t="s">
        <v>108</v>
      </c>
      <c r="C191" s="19">
        <f>C187+C162+C183</f>
        <v>9093</v>
      </c>
      <c r="D191" s="46">
        <v>220535</v>
      </c>
      <c r="E191" s="19">
        <v>4768</v>
      </c>
      <c r="F191" s="19">
        <f>F158+F162+F183+F187</f>
        <v>42894</v>
      </c>
      <c r="G191" s="19">
        <f>SUM(C191:F191)</f>
        <v>277290</v>
      </c>
    </row>
    <row r="192" spans="2:8" x14ac:dyDescent="0.25">
      <c r="B192" s="18" t="s">
        <v>109</v>
      </c>
      <c r="C192" s="19">
        <f>C188+C163+C184</f>
        <v>169.91402099999999</v>
      </c>
      <c r="D192" s="46">
        <v>3030.1538703428796</v>
      </c>
      <c r="E192" s="19">
        <v>72.266999999999996</v>
      </c>
      <c r="F192" s="19">
        <f>F159+F184+F163+F188</f>
        <v>355.439166</v>
      </c>
      <c r="G192" s="22">
        <f>SUM(C192:F192)</f>
        <v>3627.7740573428796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3BF26-4C20-4FB8-A041-30E0DF48CB03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90" t="s">
        <v>1</v>
      </c>
      <c r="C2" s="91"/>
      <c r="D2" s="91"/>
      <c r="E2" s="91"/>
      <c r="F2" s="92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79" t="s">
        <v>7</v>
      </c>
      <c r="B4" s="80"/>
      <c r="C4" s="80"/>
      <c r="D4" s="80"/>
      <c r="E4" s="80"/>
      <c r="F4" s="81"/>
    </row>
    <row r="5" spans="1:6" x14ac:dyDescent="0.25">
      <c r="A5" s="75" t="s">
        <v>8</v>
      </c>
      <c r="B5" s="76"/>
      <c r="C5" s="76"/>
      <c r="D5" s="76"/>
      <c r="E5" s="76"/>
      <c r="F5" s="77"/>
    </row>
    <row r="6" spans="1:6" x14ac:dyDescent="0.25">
      <c r="A6" s="4" t="s">
        <v>9</v>
      </c>
      <c r="B6" s="12">
        <v>55507</v>
      </c>
      <c r="C6" s="12">
        <v>8181</v>
      </c>
      <c r="D6" s="12">
        <v>8647</v>
      </c>
      <c r="E6" s="12">
        <v>10223</v>
      </c>
      <c r="F6" s="12">
        <f>+E6+D6+C6+B6</f>
        <v>82558</v>
      </c>
    </row>
    <row r="7" spans="1:6" x14ac:dyDescent="0.25">
      <c r="A7" s="14" t="s">
        <v>10</v>
      </c>
      <c r="B7" s="12">
        <v>529</v>
      </c>
      <c r="C7" s="12">
        <v>255</v>
      </c>
      <c r="D7" s="12">
        <v>31</v>
      </c>
      <c r="E7" s="12">
        <v>146</v>
      </c>
      <c r="F7" s="12">
        <f>+E7+D7+C7+B7</f>
        <v>961</v>
      </c>
    </row>
    <row r="8" spans="1:6" x14ac:dyDescent="0.25">
      <c r="A8" s="18" t="s">
        <v>11</v>
      </c>
      <c r="B8" s="25">
        <v>56036</v>
      </c>
      <c r="C8" s="25">
        <f>+C6+C7</f>
        <v>8436</v>
      </c>
      <c r="D8" s="25">
        <v>8678</v>
      </c>
      <c r="E8" s="25">
        <v>10369</v>
      </c>
      <c r="F8" s="25">
        <f>+E8+D8+C8+B8</f>
        <v>83519</v>
      </c>
    </row>
    <row r="9" spans="1:6" x14ac:dyDescent="0.25">
      <c r="A9" s="70"/>
      <c r="B9" s="70"/>
      <c r="C9" s="70"/>
      <c r="D9" s="70"/>
      <c r="E9" s="70"/>
      <c r="F9" s="70"/>
    </row>
    <row r="10" spans="1:6" x14ac:dyDescent="0.25">
      <c r="A10" s="75" t="s">
        <v>12</v>
      </c>
      <c r="B10" s="76"/>
      <c r="C10" s="76"/>
      <c r="D10" s="76"/>
      <c r="E10" s="76"/>
      <c r="F10" s="77"/>
    </row>
    <row r="11" spans="1:6" x14ac:dyDescent="0.25">
      <c r="A11" s="71" t="s">
        <v>13</v>
      </c>
      <c r="B11" s="72"/>
      <c r="C11" s="72"/>
      <c r="D11" s="72"/>
      <c r="E11" s="72"/>
      <c r="F11" s="73"/>
    </row>
    <row r="12" spans="1:6" x14ac:dyDescent="0.25">
      <c r="A12" s="16" t="s">
        <v>14</v>
      </c>
      <c r="B12" s="12">
        <v>855708</v>
      </c>
      <c r="C12" s="12">
        <v>122984</v>
      </c>
      <c r="D12" s="12">
        <v>48333</v>
      </c>
      <c r="E12" s="12">
        <v>0</v>
      </c>
      <c r="F12" s="17">
        <f>SUM(B12:E12)</f>
        <v>1027025</v>
      </c>
    </row>
    <row r="13" spans="1:6" x14ac:dyDescent="0.25">
      <c r="A13" s="16" t="s">
        <v>15</v>
      </c>
      <c r="B13" s="12">
        <v>2427309</v>
      </c>
      <c r="C13" s="12">
        <v>561839</v>
      </c>
      <c r="D13" s="12">
        <v>235150</v>
      </c>
      <c r="E13" s="12">
        <v>0</v>
      </c>
      <c r="F13" s="17">
        <f>SUM(B13:E13)</f>
        <v>3224298</v>
      </c>
    </row>
    <row r="14" spans="1:6" x14ac:dyDescent="0.25">
      <c r="A14" s="18" t="s">
        <v>16</v>
      </c>
      <c r="B14" s="25">
        <f>B13+B12</f>
        <v>3283017</v>
      </c>
      <c r="C14" s="25">
        <v>1027690</v>
      </c>
      <c r="D14" s="25">
        <v>283483</v>
      </c>
      <c r="E14" s="25">
        <v>137794</v>
      </c>
      <c r="F14" s="19">
        <f>SUM(B14:E14)</f>
        <v>4731984</v>
      </c>
    </row>
    <row r="15" spans="1:6" x14ac:dyDescent="0.25">
      <c r="A15" s="18" t="s">
        <v>17</v>
      </c>
      <c r="B15" s="25">
        <v>460207</v>
      </c>
      <c r="C15" s="25">
        <v>157243</v>
      </c>
      <c r="D15" s="25">
        <v>3200</v>
      </c>
      <c r="E15" s="25">
        <v>363558</v>
      </c>
      <c r="F15" s="19">
        <f>SUM(B15:E15)</f>
        <v>984208</v>
      </c>
    </row>
    <row r="16" spans="1:6" x14ac:dyDescent="0.25">
      <c r="A16" s="18" t="s">
        <v>18</v>
      </c>
      <c r="B16" s="25">
        <f>B15+B14</f>
        <v>3743224</v>
      </c>
      <c r="C16" s="25">
        <v>1184933</v>
      </c>
      <c r="D16" s="25">
        <v>286683</v>
      </c>
      <c r="E16" s="25">
        <v>501352</v>
      </c>
      <c r="F16" s="19">
        <f>SUM(B16:E16)</f>
        <v>5716192</v>
      </c>
    </row>
    <row r="17" spans="1:7" x14ac:dyDescent="0.25">
      <c r="A17" s="70"/>
      <c r="B17" s="70"/>
      <c r="C17" s="70"/>
      <c r="D17" s="70"/>
      <c r="E17" s="70"/>
      <c r="F17" s="70"/>
    </row>
    <row r="18" spans="1:7" x14ac:dyDescent="0.25">
      <c r="A18" s="71" t="s">
        <v>19</v>
      </c>
      <c r="B18" s="72"/>
      <c r="C18" s="72"/>
      <c r="D18" s="72"/>
      <c r="E18" s="72"/>
      <c r="F18" s="73"/>
    </row>
    <row r="19" spans="1:7" x14ac:dyDescent="0.25">
      <c r="A19" s="14" t="s">
        <v>20</v>
      </c>
      <c r="B19" s="28">
        <v>3525</v>
      </c>
      <c r="C19" s="28">
        <v>4</v>
      </c>
      <c r="D19" s="28">
        <v>0</v>
      </c>
      <c r="E19" s="28">
        <v>0</v>
      </c>
      <c r="F19" s="28">
        <f>SUM(B19:E19)</f>
        <v>3529</v>
      </c>
    </row>
    <row r="20" spans="1:7" x14ac:dyDescent="0.25">
      <c r="A20" s="93"/>
      <c r="B20" s="93"/>
      <c r="C20" s="93"/>
      <c r="D20" s="93"/>
      <c r="E20" s="93"/>
      <c r="F20" s="93"/>
    </row>
    <row r="21" spans="1:7" x14ac:dyDescent="0.25">
      <c r="A21" s="18" t="s">
        <v>21</v>
      </c>
      <c r="B21" s="19">
        <f>+B19+B16</f>
        <v>3746749</v>
      </c>
      <c r="C21" s="19">
        <v>1184937</v>
      </c>
      <c r="D21" s="19">
        <v>286683</v>
      </c>
      <c r="E21" s="19">
        <f>E16</f>
        <v>501352</v>
      </c>
      <c r="F21" s="19">
        <f>SUM(B21:E21)</f>
        <v>5719721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400057</v>
      </c>
      <c r="C24" s="19">
        <v>197001</v>
      </c>
      <c r="D24" s="19">
        <v>135788</v>
      </c>
      <c r="E24" s="19">
        <v>676541</v>
      </c>
      <c r="F24" s="19">
        <f>SUM(B24:E24)</f>
        <v>1409387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4146806</v>
      </c>
      <c r="C27" s="19">
        <v>1381938</v>
      </c>
      <c r="D27" s="19">
        <f>+D21+D24</f>
        <v>422471</v>
      </c>
      <c r="E27" s="19">
        <f>+E24+E21</f>
        <v>1177893</v>
      </c>
      <c r="F27" s="19">
        <f>SUM(B27:E27)</f>
        <v>7129108</v>
      </c>
    </row>
    <row r="28" spans="1:7" x14ac:dyDescent="0.25">
      <c r="A28" s="70"/>
      <c r="B28" s="70"/>
      <c r="C28" s="70"/>
      <c r="D28" s="70"/>
      <c r="E28" s="70"/>
      <c r="F28" s="70"/>
      <c r="G28" s="70"/>
    </row>
    <row r="29" spans="1:7" x14ac:dyDescent="0.25">
      <c r="A29" s="75" t="s">
        <v>26</v>
      </c>
      <c r="B29" s="76"/>
      <c r="C29" s="76"/>
      <c r="D29" s="76"/>
      <c r="E29" s="76"/>
      <c r="F29" s="77"/>
    </row>
    <row r="30" spans="1:7" x14ac:dyDescent="0.25">
      <c r="A30" s="14" t="s">
        <v>27</v>
      </c>
      <c r="B30" s="28">
        <v>1271475</v>
      </c>
      <c r="C30" s="28">
        <v>155721</v>
      </c>
      <c r="D30" s="28">
        <v>79332</v>
      </c>
      <c r="E30" s="28">
        <v>212822</v>
      </c>
      <c r="F30" s="28">
        <f>SUM(B30:E30)</f>
        <v>1719350</v>
      </c>
    </row>
    <row r="31" spans="1:7" x14ac:dyDescent="0.25">
      <c r="A31" s="70"/>
      <c r="B31" s="70"/>
      <c r="C31" s="70"/>
      <c r="D31" s="70"/>
      <c r="E31" s="70"/>
      <c r="F31" s="70"/>
      <c r="G31" s="70"/>
    </row>
    <row r="32" spans="1:7" x14ac:dyDescent="0.25">
      <c r="A32" s="75" t="s">
        <v>28</v>
      </c>
      <c r="B32" s="76"/>
      <c r="C32" s="76"/>
      <c r="D32" s="76"/>
      <c r="E32" s="76"/>
      <c r="F32" s="77"/>
    </row>
    <row r="33" spans="1:8" x14ac:dyDescent="0.25">
      <c r="A33" s="14" t="s">
        <v>29</v>
      </c>
      <c r="B33" s="28">
        <v>3734635877641</v>
      </c>
      <c r="C33" s="28">
        <v>649776749653</v>
      </c>
      <c r="D33" s="28">
        <v>246623797309</v>
      </c>
      <c r="E33" s="28">
        <v>446645398212</v>
      </c>
      <c r="F33" s="28">
        <f>SUM(B33:E33)</f>
        <v>5077681822815</v>
      </c>
    </row>
    <row r="34" spans="1:8" x14ac:dyDescent="0.25">
      <c r="A34" s="14" t="s">
        <v>30</v>
      </c>
      <c r="B34" s="28">
        <v>164946705902</v>
      </c>
      <c r="C34" s="28">
        <v>68652679662</v>
      </c>
      <c r="D34" s="28">
        <v>39426988100</v>
      </c>
      <c r="E34" s="28">
        <v>203015298794</v>
      </c>
      <c r="F34" s="28">
        <f>SUM(B34:E34)</f>
        <v>476041672458</v>
      </c>
    </row>
    <row r="35" spans="1:8" x14ac:dyDescent="0.25">
      <c r="A35" s="41" t="s">
        <v>31</v>
      </c>
      <c r="B35" s="42">
        <f>SUM(B33:B34)</f>
        <v>3899582583543</v>
      </c>
      <c r="C35" s="42">
        <v>718429429315</v>
      </c>
      <c r="D35" s="42">
        <v>286050785409</v>
      </c>
      <c r="E35" s="42">
        <v>649660697006</v>
      </c>
      <c r="F35" s="42">
        <f>SUM(B35:E35)</f>
        <v>5553723495273</v>
      </c>
    </row>
    <row r="36" spans="1:8" x14ac:dyDescent="0.25">
      <c r="A36" s="86" t="s">
        <v>32</v>
      </c>
      <c r="B36" s="87"/>
      <c r="C36" s="87"/>
      <c r="D36" s="87"/>
      <c r="E36" s="87"/>
      <c r="F36" s="88"/>
      <c r="G36"/>
    </row>
    <row r="37" spans="1:8" x14ac:dyDescent="0.25">
      <c r="A37" s="40"/>
      <c r="B37" s="40"/>
      <c r="C37" s="40"/>
      <c r="D37" s="40"/>
      <c r="E37" s="40"/>
      <c r="F37" s="40"/>
      <c r="G37" s="40"/>
    </row>
    <row r="38" spans="1:8" ht="21" x14ac:dyDescent="0.35">
      <c r="A38" s="79" t="s">
        <v>33</v>
      </c>
      <c r="B38" s="80"/>
      <c r="C38" s="80"/>
      <c r="D38" s="80"/>
      <c r="E38" s="80"/>
      <c r="F38" s="81"/>
    </row>
    <row r="39" spans="1:8" x14ac:dyDescent="0.25">
      <c r="A39" s="75" t="s">
        <v>34</v>
      </c>
      <c r="B39" s="76"/>
      <c r="C39" s="76"/>
      <c r="D39" s="76"/>
      <c r="E39" s="76"/>
      <c r="F39" s="77"/>
    </row>
    <row r="40" spans="1:8" x14ac:dyDescent="0.25">
      <c r="A40" s="14" t="s">
        <v>35</v>
      </c>
      <c r="B40" s="28">
        <v>657625</v>
      </c>
      <c r="C40" s="28">
        <v>115621</v>
      </c>
      <c r="D40" s="28">
        <v>42003</v>
      </c>
      <c r="E40" s="28">
        <v>76164</v>
      </c>
      <c r="F40" s="28">
        <f>SUM(B40:E40)</f>
        <v>891413</v>
      </c>
      <c r="G40" s="7"/>
      <c r="H40" s="7"/>
    </row>
    <row r="41" spans="1:8" x14ac:dyDescent="0.25">
      <c r="A41" s="14" t="s">
        <v>36</v>
      </c>
      <c r="B41" s="28">
        <f>3290926475/1000000</f>
        <v>3290.9264750000002</v>
      </c>
      <c r="C41" s="28">
        <v>962.59944900000005</v>
      </c>
      <c r="D41" s="28">
        <v>358</v>
      </c>
      <c r="E41" s="28">
        <v>596.42107699999997</v>
      </c>
      <c r="F41" s="11">
        <f>SUM(B41:E41)</f>
        <v>5207.9470010000005</v>
      </c>
      <c r="G41" s="7"/>
      <c r="H41" s="7"/>
    </row>
    <row r="42" spans="1:8" x14ac:dyDescent="0.25">
      <c r="A42" s="70"/>
      <c r="B42" s="70"/>
      <c r="C42" s="70"/>
      <c r="D42" s="70"/>
      <c r="E42" s="70"/>
      <c r="F42" s="70"/>
      <c r="G42" s="70"/>
      <c r="H42" s="7"/>
    </row>
    <row r="43" spans="1:8" x14ac:dyDescent="0.25">
      <c r="A43" s="69" t="s">
        <v>37</v>
      </c>
      <c r="B43" s="69"/>
      <c r="C43" s="69"/>
      <c r="D43" s="69"/>
      <c r="E43" s="69"/>
      <c r="F43" s="69"/>
      <c r="H43" s="7"/>
    </row>
    <row r="44" spans="1:8" x14ac:dyDescent="0.25">
      <c r="A44" s="14" t="s">
        <v>38</v>
      </c>
      <c r="B44" s="28">
        <v>4</v>
      </c>
      <c r="C44" s="28">
        <v>16</v>
      </c>
      <c r="D44" s="28">
        <v>2</v>
      </c>
      <c r="E44" s="28">
        <v>1</v>
      </c>
      <c r="F44" s="28">
        <f>SUM(B44:E44)</f>
        <v>23</v>
      </c>
      <c r="G44" s="7"/>
      <c r="H44" s="7"/>
    </row>
    <row r="45" spans="1:8" x14ac:dyDescent="0.25">
      <c r="A45" s="14" t="s">
        <v>39</v>
      </c>
      <c r="B45" s="28">
        <f>4793080/1000000</f>
        <v>4.7930799999999998</v>
      </c>
      <c r="C45" s="28">
        <v>0.18783900000000001</v>
      </c>
      <c r="D45" s="28">
        <v>8.0000000000000002E-3</v>
      </c>
      <c r="E45" s="28">
        <v>0.121561</v>
      </c>
      <c r="F45" s="11">
        <f>SUM(B45:E45)</f>
        <v>5.1104799999999999</v>
      </c>
      <c r="G45" s="7"/>
      <c r="H45" s="7"/>
    </row>
    <row r="46" spans="1:8" x14ac:dyDescent="0.25">
      <c r="A46" s="70"/>
      <c r="B46" s="70"/>
      <c r="C46" s="70"/>
      <c r="D46" s="70"/>
      <c r="E46" s="70"/>
      <c r="F46" s="70"/>
      <c r="G46" s="70"/>
      <c r="H46" s="7"/>
    </row>
    <row r="47" spans="1:8" x14ac:dyDescent="0.25">
      <c r="A47" s="69" t="s">
        <v>40</v>
      </c>
      <c r="B47" s="69"/>
      <c r="C47" s="69"/>
      <c r="D47" s="69"/>
      <c r="E47" s="69"/>
      <c r="F47" s="69"/>
      <c r="H47" s="7"/>
    </row>
    <row r="48" spans="1:8" x14ac:dyDescent="0.25">
      <c r="A48" s="14" t="s">
        <v>41</v>
      </c>
      <c r="B48" s="28">
        <v>145773</v>
      </c>
      <c r="C48" s="28">
        <v>77922</v>
      </c>
      <c r="D48" s="28">
        <v>13837</v>
      </c>
      <c r="E48" s="28">
        <v>69353</v>
      </c>
      <c r="F48" s="28">
        <f>SUM(B48:E48)</f>
        <v>306885</v>
      </c>
      <c r="G48" s="7"/>
      <c r="H48" s="7"/>
    </row>
    <row r="49" spans="1:8" x14ac:dyDescent="0.25">
      <c r="A49" s="14" t="s">
        <v>42</v>
      </c>
      <c r="B49" s="28">
        <f>(78747821065+1723279194)/1000000</f>
        <v>80471.100258999999</v>
      </c>
      <c r="C49" s="28">
        <v>26580</v>
      </c>
      <c r="D49" s="28">
        <v>10150</v>
      </c>
      <c r="E49" s="28">
        <v>11624.29962</v>
      </c>
      <c r="F49" s="11">
        <f>SUM(B49:E49)</f>
        <v>128825.399879</v>
      </c>
      <c r="G49" s="7"/>
      <c r="H49" s="7"/>
    </row>
    <row r="50" spans="1:8" x14ac:dyDescent="0.25">
      <c r="A50" s="70"/>
      <c r="B50" s="70"/>
      <c r="C50" s="70"/>
      <c r="D50" s="70"/>
      <c r="E50" s="70"/>
      <c r="F50" s="70"/>
      <c r="G50" s="70"/>
    </row>
    <row r="51" spans="1:8" ht="21" x14ac:dyDescent="0.35">
      <c r="A51" s="79" t="s">
        <v>43</v>
      </c>
      <c r="B51" s="80"/>
      <c r="C51" s="80"/>
      <c r="D51" s="80"/>
      <c r="E51" s="80"/>
      <c r="F51" s="81"/>
    </row>
    <row r="52" spans="1:8" x14ac:dyDescent="0.25">
      <c r="A52" s="89"/>
      <c r="B52" s="89"/>
      <c r="C52" s="89"/>
      <c r="D52" s="89"/>
      <c r="E52" s="89"/>
      <c r="F52" s="89"/>
      <c r="G52" s="89"/>
    </row>
    <row r="53" spans="1:8" x14ac:dyDescent="0.25">
      <c r="A53" s="69" t="s">
        <v>44</v>
      </c>
      <c r="B53" s="69"/>
      <c r="C53" s="69"/>
      <c r="D53" s="69"/>
      <c r="E53" s="69"/>
      <c r="F53" s="69"/>
    </row>
    <row r="54" spans="1:8" x14ac:dyDescent="0.25">
      <c r="A54" s="74" t="s">
        <v>45</v>
      </c>
      <c r="B54" s="74"/>
      <c r="C54" s="74"/>
      <c r="D54" s="74"/>
      <c r="E54" s="74"/>
      <c r="F54" s="74"/>
    </row>
    <row r="55" spans="1:8" x14ac:dyDescent="0.25">
      <c r="A55" s="14" t="s">
        <v>46</v>
      </c>
      <c r="B55" s="28">
        <v>82689</v>
      </c>
      <c r="C55" s="28">
        <v>4452</v>
      </c>
      <c r="D55" s="28">
        <v>1093</v>
      </c>
      <c r="E55" s="28">
        <v>3402</v>
      </c>
      <c r="F55" s="28">
        <f t="shared" ref="F55:F71" si="0">SUM(B55:E55)</f>
        <v>91636</v>
      </c>
    </row>
    <row r="56" spans="1:8" x14ac:dyDescent="0.25">
      <c r="A56" s="14" t="s">
        <v>47</v>
      </c>
      <c r="B56" s="28">
        <v>60147.421936999999</v>
      </c>
      <c r="C56" s="28">
        <v>6272.74100000001</v>
      </c>
      <c r="D56" s="28">
        <v>1542</v>
      </c>
      <c r="E56" s="28">
        <v>8512</v>
      </c>
      <c r="F56" s="28">
        <f t="shared" si="0"/>
        <v>76474.162937000016</v>
      </c>
    </row>
    <row r="57" spans="1:8" x14ac:dyDescent="0.25">
      <c r="A57" s="14" t="s">
        <v>48</v>
      </c>
      <c r="B57" s="28">
        <v>14.326415847331599</v>
      </c>
      <c r="C57" s="28">
        <v>38</v>
      </c>
      <c r="D57" s="28">
        <v>21</v>
      </c>
      <c r="E57" s="28">
        <v>33</v>
      </c>
      <c r="F57" s="28">
        <f>AVERAGE(B57:E57)</f>
        <v>26.581603961832901</v>
      </c>
    </row>
    <row r="58" spans="1:8" x14ac:dyDescent="0.25">
      <c r="A58" s="14" t="s">
        <v>49</v>
      </c>
      <c r="B58" s="28">
        <v>885847</v>
      </c>
      <c r="C58" s="28">
        <v>138186</v>
      </c>
      <c r="D58" s="97">
        <v>50382</v>
      </c>
      <c r="E58" s="28">
        <v>73310</v>
      </c>
      <c r="F58" s="28">
        <f t="shared" si="0"/>
        <v>1147725</v>
      </c>
    </row>
    <row r="59" spans="1:8" x14ac:dyDescent="0.25">
      <c r="A59" s="14" t="s">
        <v>50</v>
      </c>
      <c r="B59" s="28">
        <v>1731968.765992</v>
      </c>
      <c r="C59" s="28">
        <v>262425.83912999998</v>
      </c>
      <c r="D59" s="97">
        <v>110360.59387300001</v>
      </c>
      <c r="E59" s="28">
        <v>160856</v>
      </c>
      <c r="F59" s="11">
        <f t="shared" si="0"/>
        <v>2265611.1989949998</v>
      </c>
    </row>
    <row r="60" spans="1:8" x14ac:dyDescent="0.25">
      <c r="A60" s="74" t="s">
        <v>51</v>
      </c>
      <c r="B60" s="74"/>
      <c r="C60" s="74"/>
      <c r="D60" s="74"/>
      <c r="E60" s="74"/>
      <c r="F60" s="74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 x14ac:dyDescent="0.25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 x14ac:dyDescent="0.25">
      <c r="A66" s="74" t="s">
        <v>52</v>
      </c>
      <c r="B66" s="74"/>
      <c r="C66" s="74"/>
      <c r="D66" s="74"/>
      <c r="E66" s="74"/>
      <c r="F66" s="74"/>
    </row>
    <row r="67" spans="1:7" x14ac:dyDescent="0.25">
      <c r="A67" s="14" t="s">
        <v>46</v>
      </c>
      <c r="B67" s="28">
        <v>6557</v>
      </c>
      <c r="C67" s="28">
        <v>1422</v>
      </c>
      <c r="D67" s="28">
        <v>1425</v>
      </c>
      <c r="E67" s="28">
        <v>7630</v>
      </c>
      <c r="F67" s="28">
        <f t="shared" si="0"/>
        <v>17034</v>
      </c>
    </row>
    <row r="68" spans="1:7" x14ac:dyDescent="0.25">
      <c r="A68" s="14" t="s">
        <v>47</v>
      </c>
      <c r="B68" s="28">
        <v>5492.7971180000004</v>
      </c>
      <c r="C68" s="28">
        <v>1626.6785580000001</v>
      </c>
      <c r="D68" s="28">
        <v>1440</v>
      </c>
      <c r="E68" s="28">
        <v>6973</v>
      </c>
      <c r="F68" s="28">
        <f t="shared" si="0"/>
        <v>15532.475676</v>
      </c>
    </row>
    <row r="69" spans="1:7" x14ac:dyDescent="0.25">
      <c r="A69" s="14" t="s">
        <v>48</v>
      </c>
      <c r="B69" s="28">
        <v>39.073814244319003</v>
      </c>
      <c r="C69" s="28">
        <v>55</v>
      </c>
      <c r="D69" s="28">
        <v>48</v>
      </c>
      <c r="E69" s="28">
        <v>32</v>
      </c>
      <c r="F69" s="28">
        <f>AVERAGE(B69:E69)</f>
        <v>43.518453561079752</v>
      </c>
    </row>
    <row r="70" spans="1:7" x14ac:dyDescent="0.25">
      <c r="A70" s="14" t="s">
        <v>49</v>
      </c>
      <c r="B70" s="28">
        <v>128880</v>
      </c>
      <c r="C70" s="28">
        <v>86662</v>
      </c>
      <c r="D70" s="28">
        <v>56429</v>
      </c>
      <c r="E70" s="28">
        <v>255315</v>
      </c>
      <c r="F70" s="28">
        <f t="shared" si="0"/>
        <v>527286</v>
      </c>
    </row>
    <row r="71" spans="1:7" x14ac:dyDescent="0.25">
      <c r="A71" s="14" t="s">
        <v>50</v>
      </c>
      <c r="B71" s="28">
        <v>128635.339876</v>
      </c>
      <c r="C71" s="28">
        <v>97742.875004000001</v>
      </c>
      <c r="D71" s="28">
        <v>58356.891280000003</v>
      </c>
      <c r="E71" s="28">
        <v>230044</v>
      </c>
      <c r="F71" s="11">
        <f t="shared" si="0"/>
        <v>514779.10615999997</v>
      </c>
    </row>
    <row r="72" spans="1:7" x14ac:dyDescent="0.25">
      <c r="A72" s="83" t="s">
        <v>53</v>
      </c>
      <c r="B72" s="84"/>
      <c r="C72" s="84"/>
      <c r="D72" s="84"/>
      <c r="E72" s="84"/>
      <c r="F72" s="85"/>
    </row>
    <row r="73" spans="1:7" x14ac:dyDescent="0.25">
      <c r="A73" s="18" t="s">
        <v>54</v>
      </c>
      <c r="B73" s="19">
        <f>+B55+B67</f>
        <v>89246</v>
      </c>
      <c r="C73" s="19">
        <v>5874</v>
      </c>
      <c r="D73" s="19">
        <v>2518</v>
      </c>
      <c r="E73" s="19">
        <f>+E55+E67</f>
        <v>11032</v>
      </c>
      <c r="F73" s="19">
        <f>SUM(B73:E73)</f>
        <v>108670</v>
      </c>
    </row>
    <row r="74" spans="1:7" x14ac:dyDescent="0.25">
      <c r="A74" s="18" t="s">
        <v>47</v>
      </c>
      <c r="B74" s="19">
        <f>+B56+B68</f>
        <v>65640.219054999994</v>
      </c>
      <c r="C74" s="19">
        <v>7899.4195580000105</v>
      </c>
      <c r="D74" s="19">
        <v>2982</v>
      </c>
      <c r="E74" s="19">
        <f>+E56+E68</f>
        <v>15485</v>
      </c>
      <c r="F74" s="22">
        <f>SUM(B74:E74)</f>
        <v>92006.638613000003</v>
      </c>
    </row>
    <row r="75" spans="1:7" x14ac:dyDescent="0.25">
      <c r="A75" s="18" t="s">
        <v>48</v>
      </c>
      <c r="B75" s="19">
        <v>16.144486649411199</v>
      </c>
      <c r="C75" s="19">
        <v>31</v>
      </c>
      <c r="D75" s="19">
        <v>69</v>
      </c>
      <c r="E75" s="19">
        <v>33</v>
      </c>
      <c r="F75" s="19">
        <f>AVERAGE(B75:E75)</f>
        <v>37.286121662352798</v>
      </c>
    </row>
    <row r="76" spans="1:7" x14ac:dyDescent="0.25">
      <c r="A76" s="18" t="s">
        <v>49</v>
      </c>
      <c r="B76" s="19">
        <f>+B58+B70</f>
        <v>1014727</v>
      </c>
      <c r="C76" s="19">
        <v>256899</v>
      </c>
      <c r="D76" s="19">
        <v>106811</v>
      </c>
      <c r="E76" s="19">
        <f>+E58+E70</f>
        <v>328625</v>
      </c>
      <c r="F76" s="19">
        <f>SUM(B76:E76)</f>
        <v>1707062</v>
      </c>
    </row>
    <row r="77" spans="1:7" x14ac:dyDescent="0.25">
      <c r="A77" s="18" t="s">
        <v>50</v>
      </c>
      <c r="B77" s="19">
        <f>+B59+B71</f>
        <v>1860604.1058680001</v>
      </c>
      <c r="C77" s="19">
        <v>433613.758279</v>
      </c>
      <c r="D77" s="19">
        <v>168717.48515300002</v>
      </c>
      <c r="E77" s="19">
        <f>+E59+E71</f>
        <v>390900</v>
      </c>
      <c r="F77" s="22">
        <f>SUM(B77:E77)</f>
        <v>2853835.3492999999</v>
      </c>
    </row>
    <row r="78" spans="1:7" x14ac:dyDescent="0.25">
      <c r="A78" s="70"/>
      <c r="B78" s="70"/>
      <c r="C78" s="70"/>
      <c r="D78" s="70"/>
      <c r="E78" s="70"/>
      <c r="F78" s="70"/>
      <c r="G78" s="70"/>
    </row>
    <row r="79" spans="1:7" x14ac:dyDescent="0.25">
      <c r="A79" s="75" t="s">
        <v>55</v>
      </c>
      <c r="B79" s="76"/>
      <c r="C79" s="76"/>
      <c r="D79" s="76"/>
      <c r="E79" s="76"/>
      <c r="F79" s="77"/>
    </row>
    <row r="80" spans="1:7" x14ac:dyDescent="0.25">
      <c r="A80" s="71" t="s">
        <v>45</v>
      </c>
      <c r="B80" s="72"/>
      <c r="C80" s="72"/>
      <c r="D80" s="72"/>
      <c r="E80" s="72"/>
      <c r="F80" s="73"/>
    </row>
    <row r="81" spans="1:6" x14ac:dyDescent="0.25">
      <c r="A81" s="14" t="s">
        <v>46</v>
      </c>
      <c r="B81" s="24">
        <v>0</v>
      </c>
      <c r="C81" s="24">
        <v>0</v>
      </c>
      <c r="D81" s="24">
        <v>0</v>
      </c>
      <c r="E81" s="24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4">
        <v>0</v>
      </c>
      <c r="D82" s="2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4">
        <v>0</v>
      </c>
      <c r="D83" s="2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1020</v>
      </c>
      <c r="C84" s="24">
        <v>118</v>
      </c>
      <c r="D84" s="24">
        <v>6</v>
      </c>
      <c r="E84" s="24">
        <v>96</v>
      </c>
      <c r="F84" s="24">
        <f>SUM(B84:E84)</f>
        <v>1240</v>
      </c>
    </row>
    <row r="85" spans="1:6" x14ac:dyDescent="0.25">
      <c r="A85" s="14" t="s">
        <v>50</v>
      </c>
      <c r="B85" s="24">
        <v>22231.095548000001</v>
      </c>
      <c r="C85" s="24">
        <v>1505</v>
      </c>
      <c r="D85" s="24">
        <v>79</v>
      </c>
      <c r="E85" s="24">
        <v>1761.510413</v>
      </c>
      <c r="F85" s="11">
        <f>SUM(B85:E85)</f>
        <v>25576.605961000001</v>
      </c>
    </row>
    <row r="86" spans="1:6" x14ac:dyDescent="0.25">
      <c r="A86" s="71" t="s">
        <v>51</v>
      </c>
      <c r="B86" s="72"/>
      <c r="C86" s="72"/>
      <c r="D86" s="72"/>
      <c r="E86" s="72"/>
      <c r="F86" s="73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 x14ac:dyDescent="0.25">
      <c r="A92" s="71" t="s">
        <v>52</v>
      </c>
      <c r="B92" s="72"/>
      <c r="C92" s="72"/>
      <c r="D92" s="72"/>
      <c r="E92" s="72"/>
      <c r="F92" s="73"/>
    </row>
    <row r="93" spans="1:6" x14ac:dyDescent="0.25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 x14ac:dyDescent="0.25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 x14ac:dyDescent="0.25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 x14ac:dyDescent="0.25">
      <c r="A96" s="14" t="s">
        <v>49</v>
      </c>
      <c r="B96" s="59">
        <v>12</v>
      </c>
      <c r="C96" s="20">
        <v>0</v>
      </c>
      <c r="D96" s="20">
        <v>0</v>
      </c>
      <c r="E96" s="24">
        <v>7</v>
      </c>
      <c r="F96" s="28">
        <f>SUM(B96:E96)</f>
        <v>19</v>
      </c>
    </row>
    <row r="97" spans="1:7" x14ac:dyDescent="0.25">
      <c r="A97" s="14" t="s">
        <v>50</v>
      </c>
      <c r="B97" s="58">
        <v>189.90941599999999</v>
      </c>
      <c r="C97" s="20">
        <v>0</v>
      </c>
      <c r="D97" s="20">
        <v>0</v>
      </c>
      <c r="E97" s="24">
        <v>88.577545000000001</v>
      </c>
      <c r="F97" s="11">
        <f>SUM(B97:E97)</f>
        <v>278.48696100000001</v>
      </c>
    </row>
    <row r="98" spans="1:7" x14ac:dyDescent="0.25">
      <c r="A98" s="83" t="s">
        <v>56</v>
      </c>
      <c r="B98" s="84"/>
      <c r="C98" s="84"/>
      <c r="D98" s="84"/>
      <c r="E98" s="84"/>
      <c r="F98" s="85"/>
    </row>
    <row r="99" spans="1:7" x14ac:dyDescent="0.25">
      <c r="A99" s="18" t="s">
        <v>46</v>
      </c>
      <c r="B99" s="19">
        <v>0</v>
      </c>
      <c r="C99" s="19">
        <v>0</v>
      </c>
      <c r="D99" s="19">
        <v>0</v>
      </c>
      <c r="E99" s="19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9">
        <v>0</v>
      </c>
      <c r="D100" s="19">
        <v>0</v>
      </c>
      <c r="E100" s="19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 x14ac:dyDescent="0.25">
      <c r="A102" s="18" t="s">
        <v>49</v>
      </c>
      <c r="B102" s="19">
        <f>+B96+B84</f>
        <v>1032</v>
      </c>
      <c r="C102" s="19">
        <f t="shared" ref="C102:C103" si="1">+C96+C90+C84</f>
        <v>118</v>
      </c>
      <c r="D102" s="19">
        <f>+D84</f>
        <v>6</v>
      </c>
      <c r="E102" s="19">
        <f>+E96+E84</f>
        <v>103</v>
      </c>
      <c r="F102" s="19">
        <f>SUM(B102:E102)</f>
        <v>1259</v>
      </c>
    </row>
    <row r="103" spans="1:7" x14ac:dyDescent="0.25">
      <c r="A103" s="18" t="s">
        <v>50</v>
      </c>
      <c r="B103" s="19">
        <f>+B97+B85</f>
        <v>22421.004964</v>
      </c>
      <c r="C103" s="19">
        <f t="shared" si="1"/>
        <v>1505</v>
      </c>
      <c r="D103" s="19">
        <f>+D85</f>
        <v>79</v>
      </c>
      <c r="E103" s="19">
        <f>+E85+E97</f>
        <v>1850.0879580000001</v>
      </c>
      <c r="F103" s="22">
        <f>SUM(B103:E103)</f>
        <v>25855.092922</v>
      </c>
    </row>
    <row r="104" spans="1:7" x14ac:dyDescent="0.25">
      <c r="A104" s="70"/>
      <c r="B104" s="70"/>
      <c r="C104" s="70"/>
      <c r="D104" s="70"/>
      <c r="E104" s="70"/>
      <c r="F104" s="70"/>
      <c r="G104" s="70"/>
    </row>
    <row r="105" spans="1:7" x14ac:dyDescent="0.25">
      <c r="A105" s="69" t="s">
        <v>57</v>
      </c>
      <c r="B105" s="69"/>
      <c r="C105" s="69"/>
      <c r="D105" s="69"/>
      <c r="E105" s="69"/>
      <c r="F105" s="69"/>
    </row>
    <row r="106" spans="1:7" x14ac:dyDescent="0.25">
      <c r="A106" s="74" t="s">
        <v>58</v>
      </c>
      <c r="B106" s="74"/>
      <c r="C106" s="74"/>
      <c r="D106" s="74"/>
      <c r="E106" s="74"/>
      <c r="F106" s="74"/>
    </row>
    <row r="107" spans="1:7" x14ac:dyDescent="0.25">
      <c r="A107" s="14" t="s">
        <v>59</v>
      </c>
      <c r="B107" s="13">
        <v>2.4896863566715886</v>
      </c>
      <c r="C107" s="13">
        <v>2.4476688867744887</v>
      </c>
      <c r="D107" s="14">
        <v>2.76</v>
      </c>
      <c r="E107" s="13">
        <v>2.54</v>
      </c>
      <c r="F107" s="13">
        <f>AVERAGE(B107:E107)</f>
        <v>2.5593388108615196</v>
      </c>
    </row>
    <row r="108" spans="1:7" x14ac:dyDescent="0.25">
      <c r="A108" s="14" t="s">
        <v>60</v>
      </c>
      <c r="B108" s="13">
        <v>2.3464785276072964</v>
      </c>
      <c r="C108" s="13">
        <v>2.4500000000000308</v>
      </c>
      <c r="D108" s="14">
        <v>2.8</v>
      </c>
      <c r="E108" s="13">
        <v>2.66</v>
      </c>
      <c r="F108" s="13">
        <f>AVERAGE(B108:E108)</f>
        <v>2.564119631901832</v>
      </c>
    </row>
    <row r="109" spans="1:7" x14ac:dyDescent="0.25">
      <c r="A109" s="14" t="s">
        <v>61</v>
      </c>
      <c r="B109" s="13">
        <v>2.2555584570054266</v>
      </c>
      <c r="C109" s="13">
        <v>2.6102118003025523</v>
      </c>
      <c r="D109" s="14">
        <v>2.73</v>
      </c>
      <c r="E109" s="13">
        <v>2.69</v>
      </c>
      <c r="F109" s="13">
        <f>AVERAGE(B109:E109)</f>
        <v>2.5714425643269947</v>
      </c>
    </row>
    <row r="110" spans="1:7" x14ac:dyDescent="0.25">
      <c r="A110" s="74" t="s">
        <v>62</v>
      </c>
      <c r="B110" s="74"/>
      <c r="C110" s="74"/>
      <c r="D110" s="74"/>
      <c r="E110" s="74"/>
      <c r="F110" s="74"/>
    </row>
    <row r="111" spans="1:7" x14ac:dyDescent="0.25">
      <c r="A111" s="14" t="s">
        <v>59</v>
      </c>
      <c r="B111" s="13">
        <v>2.3171428571428572</v>
      </c>
      <c r="C111" s="13">
        <v>1.5999999999999999</v>
      </c>
      <c r="D111" s="14">
        <v>1.6</v>
      </c>
      <c r="E111" s="13">
        <v>1.99</v>
      </c>
      <c r="F111" s="13">
        <f>AVERAGE(B111:E111)</f>
        <v>1.8767857142857145</v>
      </c>
    </row>
    <row r="112" spans="1:7" x14ac:dyDescent="0.25">
      <c r="A112" s="14" t="s">
        <v>60</v>
      </c>
      <c r="B112" s="13">
        <v>2.1426829268292704</v>
      </c>
      <c r="C112" s="13">
        <v>2.1599999999999993</v>
      </c>
      <c r="D112" s="14">
        <v>2.15</v>
      </c>
      <c r="E112" s="13">
        <v>2.1599999999999993</v>
      </c>
      <c r="F112" s="13">
        <f>AVERAGE(B112:E112)</f>
        <v>2.1531707317073172</v>
      </c>
    </row>
    <row r="113" spans="1:8" x14ac:dyDescent="0.25">
      <c r="A113" s="14" t="s">
        <v>61</v>
      </c>
      <c r="B113" s="13">
        <v>2.1486335877862657</v>
      </c>
      <c r="C113" s="13">
        <v>2.1600000000000028</v>
      </c>
      <c r="D113" s="14">
        <v>2.4</v>
      </c>
      <c r="E113" s="13">
        <v>2.19</v>
      </c>
      <c r="F113" s="13">
        <f>AVERAGE(B113:E113)</f>
        <v>2.224658396946567</v>
      </c>
    </row>
    <row r="114" spans="1:8" x14ac:dyDescent="0.25">
      <c r="A114" s="70"/>
      <c r="B114" s="70"/>
      <c r="C114" s="70"/>
      <c r="D114" s="70"/>
      <c r="E114" s="70"/>
      <c r="F114" s="70"/>
      <c r="G114" s="70"/>
      <c r="H114" s="70"/>
    </row>
    <row r="115" spans="1:8" x14ac:dyDescent="0.25">
      <c r="A115" s="74" t="s">
        <v>63</v>
      </c>
      <c r="B115" s="74"/>
      <c r="C115" s="74"/>
      <c r="D115" s="74"/>
      <c r="E115" s="74"/>
      <c r="F115" s="74"/>
    </row>
    <row r="116" spans="1:8" x14ac:dyDescent="0.25">
      <c r="A116" s="14" t="s">
        <v>59</v>
      </c>
      <c r="B116" s="13">
        <v>1.521462765957444</v>
      </c>
      <c r="C116" s="13">
        <v>1.7900000000000023</v>
      </c>
      <c r="D116" s="14">
        <v>2.0699999999999998</v>
      </c>
      <c r="E116" s="13">
        <v>1.84</v>
      </c>
      <c r="F116" s="13">
        <f>AVERAGE(B116:E116)</f>
        <v>1.8053656914893614</v>
      </c>
    </row>
    <row r="117" spans="1:8" x14ac:dyDescent="0.25">
      <c r="A117" s="14" t="s">
        <v>60</v>
      </c>
      <c r="B117" s="13">
        <v>1.7570192869667467</v>
      </c>
      <c r="C117" s="13">
        <v>1.7824472573839727</v>
      </c>
      <c r="D117" s="14">
        <v>2.0299999999999998</v>
      </c>
      <c r="E117" s="13">
        <v>1.84</v>
      </c>
      <c r="F117" s="13">
        <f>AVERAGE(B117:E117)</f>
        <v>1.8523666360876798</v>
      </c>
    </row>
    <row r="118" spans="1:8" x14ac:dyDescent="0.25">
      <c r="A118" s="14" t="s">
        <v>61</v>
      </c>
      <c r="B118" s="13">
        <v>1.7346339375629793</v>
      </c>
      <c r="C118" s="13">
        <v>1.7886434255399462</v>
      </c>
      <c r="D118" s="14">
        <v>2.2799999999999998</v>
      </c>
      <c r="E118" s="14">
        <v>2.04</v>
      </c>
      <c r="F118" s="13">
        <f>AVERAGE(B118:E118)</f>
        <v>1.9608193407757313</v>
      </c>
    </row>
    <row r="119" spans="1:8" x14ac:dyDescent="0.25">
      <c r="A119" s="71" t="s">
        <v>64</v>
      </c>
      <c r="B119" s="72"/>
      <c r="C119" s="72"/>
      <c r="D119" s="72"/>
      <c r="E119" s="72"/>
      <c r="F119" s="73"/>
    </row>
    <row r="120" spans="1:8" x14ac:dyDescent="0.25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14">
        <v>0</v>
      </c>
      <c r="E121" s="13">
        <v>1.53</v>
      </c>
      <c r="F121" s="13">
        <f>AVERAGE(B121:E121)</f>
        <v>1.075</v>
      </c>
    </row>
    <row r="122" spans="1:8" x14ac:dyDescent="0.25">
      <c r="A122" s="14" t="s">
        <v>61</v>
      </c>
      <c r="B122" s="13">
        <v>1.43</v>
      </c>
      <c r="C122" s="13">
        <v>1.43</v>
      </c>
      <c r="D122" s="14">
        <v>1.9</v>
      </c>
      <c r="E122" s="13">
        <v>1.74</v>
      </c>
      <c r="F122" s="13">
        <f>AVERAGE(B122:E122)</f>
        <v>1.625</v>
      </c>
    </row>
    <row r="123" spans="1:8" x14ac:dyDescent="0.25">
      <c r="A123" s="70"/>
      <c r="B123" s="70"/>
      <c r="C123" s="70"/>
      <c r="D123" s="70"/>
      <c r="E123" s="70"/>
      <c r="F123" s="70"/>
      <c r="G123" s="70"/>
    </row>
    <row r="124" spans="1:8" x14ac:dyDescent="0.25">
      <c r="A124" s="75" t="s">
        <v>65</v>
      </c>
      <c r="B124" s="76"/>
      <c r="C124" s="76"/>
      <c r="D124" s="76"/>
      <c r="E124" s="76"/>
      <c r="F124" s="77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75" t="s">
        <v>67</v>
      </c>
      <c r="B126" s="76"/>
      <c r="C126" s="76"/>
      <c r="D126" s="76"/>
      <c r="E126" s="76"/>
      <c r="F126" s="77"/>
    </row>
    <row r="127" spans="1:8" x14ac:dyDescent="0.25">
      <c r="A127" s="3" t="s">
        <v>68</v>
      </c>
      <c r="B127" s="13">
        <v>1.69</v>
      </c>
      <c r="C127" s="39">
        <v>2.0481379999999998</v>
      </c>
      <c r="D127" s="34">
        <v>2.1382573818063353</v>
      </c>
      <c r="E127" s="4">
        <v>0</v>
      </c>
      <c r="F127" s="11">
        <f>AVERAGE(B127:E127)</f>
        <v>1.4690988454515836</v>
      </c>
    </row>
    <row r="128" spans="1:8" x14ac:dyDescent="0.25">
      <c r="A128" s="82"/>
      <c r="B128" s="82"/>
      <c r="C128" s="82"/>
      <c r="D128" s="82"/>
      <c r="E128" s="82"/>
      <c r="F128" s="82"/>
      <c r="G128" s="82"/>
    </row>
    <row r="129" spans="1:8" x14ac:dyDescent="0.25">
      <c r="A129" s="69" t="s">
        <v>69</v>
      </c>
      <c r="B129" s="69"/>
      <c r="C129" s="69"/>
      <c r="D129" s="69"/>
      <c r="E129" s="69"/>
      <c r="F129" s="69"/>
    </row>
    <row r="130" spans="1:8" x14ac:dyDescent="0.25">
      <c r="A130" s="14" t="s">
        <v>70</v>
      </c>
      <c r="B130" s="28">
        <v>246842</v>
      </c>
      <c r="C130" s="28">
        <v>3447</v>
      </c>
      <c r="D130" s="28">
        <v>8545</v>
      </c>
      <c r="E130" s="28">
        <v>799</v>
      </c>
      <c r="F130" s="28">
        <f>SUM(B130:E130)</f>
        <v>259633</v>
      </c>
    </row>
    <row r="131" spans="1:8" x14ac:dyDescent="0.25">
      <c r="A131" s="14" t="s">
        <v>71</v>
      </c>
      <c r="B131" s="28">
        <v>162327.23673199999</v>
      </c>
      <c r="C131" s="28">
        <v>3868</v>
      </c>
      <c r="D131" s="28">
        <v>1032</v>
      </c>
      <c r="E131" s="28">
        <v>801.79336999999998</v>
      </c>
      <c r="F131" s="11">
        <f>SUM(B131:E131)</f>
        <v>168029.03010199999</v>
      </c>
    </row>
    <row r="132" spans="1:8" x14ac:dyDescent="0.25">
      <c r="A132" s="70"/>
      <c r="B132" s="70"/>
      <c r="C132" s="70"/>
      <c r="D132" s="70"/>
      <c r="E132" s="70"/>
      <c r="F132" s="70"/>
      <c r="G132" s="70"/>
    </row>
    <row r="133" spans="1:8" x14ac:dyDescent="0.25">
      <c r="A133" s="69" t="s">
        <v>72</v>
      </c>
      <c r="B133" s="69"/>
      <c r="C133" s="69"/>
      <c r="D133" s="69"/>
      <c r="E133" s="69"/>
      <c r="F133" s="69"/>
    </row>
    <row r="134" spans="1:8" x14ac:dyDescent="0.25">
      <c r="A134" s="14" t="s">
        <v>73</v>
      </c>
      <c r="B134" s="28">
        <v>495031</v>
      </c>
      <c r="C134" s="28">
        <v>357309</v>
      </c>
      <c r="D134" s="28">
        <v>125766</v>
      </c>
      <c r="E134" s="28">
        <v>290470</v>
      </c>
      <c r="F134" s="28">
        <f>SUM(B134:E134)</f>
        <v>1268576</v>
      </c>
    </row>
    <row r="135" spans="1:8" x14ac:dyDescent="0.25">
      <c r="A135" s="70"/>
      <c r="B135" s="70"/>
      <c r="C135" s="70"/>
      <c r="D135" s="70"/>
      <c r="E135" s="70"/>
      <c r="F135" s="70"/>
      <c r="G135" s="70"/>
    </row>
    <row r="136" spans="1:8" ht="21" x14ac:dyDescent="0.35">
      <c r="A136" s="78" t="s">
        <v>74</v>
      </c>
      <c r="B136" s="78"/>
      <c r="C136" s="78"/>
      <c r="D136" s="78"/>
      <c r="E136" s="78"/>
      <c r="F136" s="78"/>
    </row>
    <row r="137" spans="1:8" x14ac:dyDescent="0.25">
      <c r="A137" s="69" t="s">
        <v>75</v>
      </c>
      <c r="B137" s="69"/>
      <c r="C137" s="69"/>
      <c r="D137" s="69"/>
      <c r="E137" s="69"/>
      <c r="F137" s="69"/>
    </row>
    <row r="138" spans="1:8" x14ac:dyDescent="0.25">
      <c r="A138" s="14" t="s">
        <v>76</v>
      </c>
      <c r="B138" s="28">
        <v>0</v>
      </c>
      <c r="C138" s="28">
        <v>0</v>
      </c>
      <c r="D138" s="28">
        <v>0</v>
      </c>
      <c r="E138" s="28">
        <v>15577</v>
      </c>
      <c r="F138" s="28">
        <f>SUM(B138:E138)</f>
        <v>15577</v>
      </c>
      <c r="G138" s="7"/>
      <c r="H138" s="7"/>
    </row>
    <row r="139" spans="1:8" x14ac:dyDescent="0.25">
      <c r="A139" s="14" t="s">
        <v>77</v>
      </c>
      <c r="B139" s="28">
        <v>0</v>
      </c>
      <c r="C139" s="28">
        <v>0</v>
      </c>
      <c r="D139" s="28">
        <v>0</v>
      </c>
      <c r="E139" s="28">
        <v>249</v>
      </c>
      <c r="F139" s="28">
        <f>SUM(B139:E139)</f>
        <v>249</v>
      </c>
      <c r="G139" s="7"/>
      <c r="H139" s="7"/>
    </row>
    <row r="140" spans="1:8" x14ac:dyDescent="0.25">
      <c r="A140" s="70"/>
      <c r="B140" s="70"/>
      <c r="C140" s="70"/>
      <c r="D140" s="70"/>
      <c r="E140" s="70"/>
      <c r="F140" s="70"/>
      <c r="G140" s="70"/>
      <c r="H140" s="7"/>
    </row>
    <row r="141" spans="1:8" x14ac:dyDescent="0.25">
      <c r="A141" s="70"/>
      <c r="B141" s="70"/>
      <c r="C141" s="70"/>
      <c r="D141" s="70"/>
      <c r="E141" s="70"/>
      <c r="F141" s="70"/>
      <c r="G141" s="70"/>
    </row>
    <row r="142" spans="1:8" ht="21" x14ac:dyDescent="0.35">
      <c r="A142" s="79" t="s">
        <v>78</v>
      </c>
      <c r="B142" s="80"/>
      <c r="C142" s="80"/>
      <c r="D142" s="80"/>
      <c r="E142" s="80"/>
      <c r="F142" s="81"/>
    </row>
    <row r="143" spans="1:8" x14ac:dyDescent="0.25">
      <c r="A143" s="75" t="s">
        <v>79</v>
      </c>
      <c r="B143" s="76"/>
      <c r="C143" s="76"/>
      <c r="D143" s="76"/>
      <c r="E143" s="76"/>
      <c r="F143" s="77"/>
    </row>
    <row r="144" spans="1:8" x14ac:dyDescent="0.25">
      <c r="A144" s="70"/>
      <c r="B144" s="70"/>
      <c r="C144" s="70"/>
      <c r="D144" s="70"/>
      <c r="E144" s="70"/>
      <c r="F144" s="70"/>
      <c r="G144" s="70"/>
    </row>
    <row r="145" spans="1:7" x14ac:dyDescent="0.25">
      <c r="A145" s="74" t="s">
        <v>80</v>
      </c>
      <c r="B145" s="74"/>
      <c r="C145" s="74"/>
      <c r="D145" s="74"/>
      <c r="E145" s="74"/>
      <c r="F145" s="74"/>
    </row>
    <row r="146" spans="1:7" x14ac:dyDescent="0.25">
      <c r="A146" s="14" t="s">
        <v>81</v>
      </c>
      <c r="B146" s="28">
        <v>0</v>
      </c>
      <c r="C146" s="28">
        <v>3234</v>
      </c>
      <c r="D146" s="28">
        <v>0</v>
      </c>
      <c r="E146" s="28">
        <v>1641</v>
      </c>
      <c r="F146" s="28">
        <f>SUM(B146:E146)</f>
        <v>4875</v>
      </c>
    </row>
    <row r="147" spans="1:7" x14ac:dyDescent="0.25">
      <c r="A147" s="14" t="s">
        <v>82</v>
      </c>
      <c r="B147" s="28">
        <v>0</v>
      </c>
      <c r="C147" s="28">
        <v>71.635999999999996</v>
      </c>
      <c r="D147" s="28">
        <v>0</v>
      </c>
      <c r="E147" s="28">
        <v>18.998249999999999</v>
      </c>
      <c r="F147" s="11">
        <f>SUM(B147:E147)</f>
        <v>90.634249999999994</v>
      </c>
    </row>
    <row r="148" spans="1:7" x14ac:dyDescent="0.25">
      <c r="A148" s="70"/>
      <c r="B148" s="70"/>
      <c r="C148" s="70"/>
      <c r="D148" s="70"/>
      <c r="E148" s="70"/>
      <c r="F148" s="70"/>
      <c r="G148" s="70"/>
    </row>
    <row r="149" spans="1:7" x14ac:dyDescent="0.25">
      <c r="A149" s="74" t="s">
        <v>83</v>
      </c>
      <c r="B149" s="74"/>
      <c r="C149" s="74"/>
      <c r="D149" s="74"/>
      <c r="E149" s="74"/>
      <c r="F149" s="74"/>
    </row>
    <row r="150" spans="1:7" x14ac:dyDescent="0.25">
      <c r="A150" s="14" t="s">
        <v>84</v>
      </c>
      <c r="B150" s="28">
        <v>0</v>
      </c>
      <c r="C150" s="28">
        <v>0</v>
      </c>
      <c r="D150" s="28">
        <v>0</v>
      </c>
      <c r="E150" s="28">
        <v>0</v>
      </c>
      <c r="F150" s="28">
        <f>SUM(B150:E150)</f>
        <v>0</v>
      </c>
      <c r="G150"/>
    </row>
    <row r="151" spans="1:7" x14ac:dyDescent="0.25">
      <c r="A151" s="14" t="s">
        <v>85</v>
      </c>
      <c r="B151" s="28">
        <v>0</v>
      </c>
      <c r="C151" s="28">
        <v>0</v>
      </c>
      <c r="D151" s="28">
        <v>0</v>
      </c>
      <c r="E151" s="28">
        <v>0</v>
      </c>
      <c r="F151" s="11">
        <f>SUM(B151:E151)</f>
        <v>0</v>
      </c>
      <c r="G151"/>
    </row>
    <row r="152" spans="1:7" x14ac:dyDescent="0.25">
      <c r="A152" s="70"/>
      <c r="B152" s="70"/>
      <c r="C152" s="70"/>
      <c r="D152" s="70"/>
      <c r="E152" s="70"/>
      <c r="F152" s="70"/>
      <c r="G152" s="70"/>
    </row>
    <row r="153" spans="1:7" x14ac:dyDescent="0.25">
      <c r="A153" s="74" t="s">
        <v>86</v>
      </c>
      <c r="B153" s="74"/>
      <c r="C153" s="74"/>
      <c r="D153" s="74"/>
      <c r="E153" s="74"/>
      <c r="F153" s="74"/>
    </row>
    <row r="154" spans="1:7" x14ac:dyDescent="0.25">
      <c r="A154" s="14" t="s">
        <v>87</v>
      </c>
      <c r="B154" s="14">
        <v>0</v>
      </c>
      <c r="C154" s="28">
        <v>101</v>
      </c>
      <c r="D154" s="36">
        <v>0</v>
      </c>
      <c r="E154" s="35">
        <v>0</v>
      </c>
      <c r="F154" s="28">
        <f>SUM(B154:E154)</f>
        <v>101</v>
      </c>
      <c r="G154"/>
    </row>
    <row r="155" spans="1:7" x14ac:dyDescent="0.25">
      <c r="A155" s="14" t="s">
        <v>88</v>
      </c>
      <c r="B155" s="11">
        <v>0</v>
      </c>
      <c r="C155" s="28">
        <v>1.57</v>
      </c>
      <c r="D155" s="36">
        <v>0</v>
      </c>
      <c r="E155" s="35">
        <v>0</v>
      </c>
      <c r="F155" s="11">
        <f>SUM(B155:E155)</f>
        <v>1.57</v>
      </c>
      <c r="G155"/>
    </row>
    <row r="156" spans="1:7" x14ac:dyDescent="0.25">
      <c r="A156" s="70"/>
      <c r="B156" s="70"/>
      <c r="C156" s="70"/>
      <c r="D156" s="70"/>
      <c r="E156" s="70"/>
      <c r="F156" s="70"/>
      <c r="G156" s="70"/>
    </row>
    <row r="157" spans="1:7" x14ac:dyDescent="0.25">
      <c r="A157" s="71" t="s">
        <v>89</v>
      </c>
      <c r="B157" s="72"/>
      <c r="C157" s="72"/>
      <c r="D157" s="72"/>
      <c r="E157" s="72"/>
      <c r="F157" s="73"/>
    </row>
    <row r="158" spans="1:7" x14ac:dyDescent="0.25">
      <c r="A158" s="18" t="s">
        <v>90</v>
      </c>
      <c r="B158" s="19">
        <v>0</v>
      </c>
      <c r="C158" s="46">
        <v>3335</v>
      </c>
      <c r="D158" s="19">
        <v>0</v>
      </c>
      <c r="E158" s="19">
        <f>E146+E154</f>
        <v>1641</v>
      </c>
      <c r="F158" s="19">
        <f>SUM(B158:E158)</f>
        <v>4976</v>
      </c>
    </row>
    <row r="159" spans="1:7" x14ac:dyDescent="0.25">
      <c r="A159" s="18" t="s">
        <v>91</v>
      </c>
      <c r="B159" s="19">
        <v>0</v>
      </c>
      <c r="C159" s="46">
        <v>73.205999999999989</v>
      </c>
      <c r="D159" s="19">
        <v>0</v>
      </c>
      <c r="E159" s="19">
        <f>E147+E155</f>
        <v>18.998249999999999</v>
      </c>
      <c r="F159" s="22">
        <f>SUM(B159:E159)</f>
        <v>92.204249999999988</v>
      </c>
    </row>
    <row r="160" spans="1:7" x14ac:dyDescent="0.25">
      <c r="A160" s="70"/>
      <c r="B160" s="70"/>
      <c r="C160" s="70"/>
      <c r="D160" s="70"/>
      <c r="E160" s="70"/>
      <c r="F160" s="70"/>
      <c r="G160" s="70"/>
    </row>
    <row r="161" spans="1:7" x14ac:dyDescent="0.25">
      <c r="A161" s="69" t="s">
        <v>92</v>
      </c>
      <c r="B161" s="69"/>
      <c r="C161" s="69"/>
      <c r="D161" s="69"/>
      <c r="E161" s="69"/>
      <c r="F161" s="69"/>
    </row>
    <row r="162" spans="1:7" x14ac:dyDescent="0.25">
      <c r="A162" s="14" t="s">
        <v>87</v>
      </c>
      <c r="B162" s="28">
        <v>3499</v>
      </c>
      <c r="C162" s="28">
        <v>36459</v>
      </c>
      <c r="D162" s="28">
        <v>4601</v>
      </c>
      <c r="E162" s="28">
        <v>23763</v>
      </c>
      <c r="F162" s="28">
        <f>SUM(B162:E162)</f>
        <v>68322</v>
      </c>
    </row>
    <row r="163" spans="1:7" x14ac:dyDescent="0.25">
      <c r="A163" s="14" t="s">
        <v>88</v>
      </c>
      <c r="B163" s="28">
        <f>80276869/1000000</f>
        <v>80.276869000000005</v>
      </c>
      <c r="C163" s="28">
        <v>261.40949599999999</v>
      </c>
      <c r="D163" s="28">
        <v>72.7</v>
      </c>
      <c r="E163" s="28">
        <v>156.33468300000001</v>
      </c>
      <c r="F163" s="11">
        <f>SUM(B163:E163)</f>
        <v>570.721048</v>
      </c>
    </row>
    <row r="164" spans="1:7" x14ac:dyDescent="0.25">
      <c r="A164" s="70"/>
      <c r="B164" s="70"/>
      <c r="C164" s="70"/>
      <c r="D164" s="70"/>
      <c r="E164" s="70"/>
      <c r="F164" s="70"/>
    </row>
    <row r="165" spans="1:7" x14ac:dyDescent="0.25">
      <c r="A165" s="75" t="s">
        <v>93</v>
      </c>
      <c r="B165" s="76"/>
      <c r="C165" s="76"/>
      <c r="D165" s="76"/>
      <c r="E165" s="76"/>
      <c r="F165" s="77"/>
    </row>
    <row r="166" spans="1:7" x14ac:dyDescent="0.25">
      <c r="A166" s="71" t="s">
        <v>94</v>
      </c>
      <c r="B166" s="72"/>
      <c r="C166" s="72"/>
      <c r="D166" s="72"/>
      <c r="E166" s="72"/>
      <c r="F166" s="73"/>
    </row>
    <row r="167" spans="1:7" x14ac:dyDescent="0.25">
      <c r="A167" s="14" t="s">
        <v>95</v>
      </c>
      <c r="B167" s="28">
        <v>333</v>
      </c>
      <c r="C167" s="28">
        <v>4348</v>
      </c>
      <c r="D167" s="28">
        <v>106</v>
      </c>
      <c r="E167" s="28">
        <v>551</v>
      </c>
      <c r="F167" s="28">
        <f>SUM(B167:E167)</f>
        <v>5338</v>
      </c>
    </row>
    <row r="168" spans="1:7" x14ac:dyDescent="0.25">
      <c r="A168" s="14" t="s">
        <v>96</v>
      </c>
      <c r="B168" s="28">
        <f>8325000/1000000</f>
        <v>8.3249999999999993</v>
      </c>
      <c r="C168" s="28">
        <v>99.677000000000007</v>
      </c>
      <c r="D168" s="28">
        <v>2.5</v>
      </c>
      <c r="E168" s="28">
        <v>19.495000000000001</v>
      </c>
      <c r="F168" s="11">
        <f>SUM(B168:E168)</f>
        <v>129.99700000000001</v>
      </c>
    </row>
    <row r="169" spans="1:7" x14ac:dyDescent="0.25">
      <c r="A169" s="70"/>
      <c r="B169" s="70"/>
      <c r="C169" s="70"/>
      <c r="D169" s="70"/>
      <c r="E169" s="70"/>
      <c r="F169" s="70"/>
    </row>
    <row r="170" spans="1:7" x14ac:dyDescent="0.25">
      <c r="A170" s="71" t="s">
        <v>97</v>
      </c>
      <c r="B170" s="72"/>
      <c r="C170" s="72"/>
      <c r="D170" s="72"/>
      <c r="E170" s="72"/>
      <c r="F170" s="73"/>
    </row>
    <row r="171" spans="1:7" x14ac:dyDescent="0.25">
      <c r="A171" s="14" t="s">
        <v>98</v>
      </c>
      <c r="B171" s="28">
        <v>1766</v>
      </c>
      <c r="C171" s="28">
        <v>740</v>
      </c>
      <c r="D171" s="28">
        <v>168</v>
      </c>
      <c r="E171" s="28">
        <v>534</v>
      </c>
      <c r="F171" s="28">
        <f>SUM(B171:E171)</f>
        <v>3208</v>
      </c>
    </row>
    <row r="172" spans="1:7" x14ac:dyDescent="0.25">
      <c r="A172" s="14" t="s">
        <v>96</v>
      </c>
      <c r="B172" s="28">
        <f>38852000/1000000</f>
        <v>38.851999999999997</v>
      </c>
      <c r="C172" s="28">
        <v>15.624000000000001</v>
      </c>
      <c r="D172" s="28">
        <v>4.2</v>
      </c>
      <c r="E172" s="28">
        <v>11.726000000000001</v>
      </c>
      <c r="F172" s="11">
        <f>SUM(B172:E172)</f>
        <v>70.402000000000001</v>
      </c>
    </row>
    <row r="173" spans="1:7" x14ac:dyDescent="0.25">
      <c r="A173" s="70"/>
      <c r="B173" s="70"/>
      <c r="C173" s="70"/>
      <c r="D173" s="70"/>
      <c r="E173" s="70"/>
      <c r="F173" s="70"/>
      <c r="G173" s="70"/>
    </row>
    <row r="174" spans="1:7" x14ac:dyDescent="0.25">
      <c r="A174" s="71" t="s">
        <v>99</v>
      </c>
      <c r="B174" s="72"/>
      <c r="C174" s="72"/>
      <c r="D174" s="72"/>
      <c r="E174" s="72"/>
      <c r="F174" s="73"/>
    </row>
    <row r="175" spans="1:7" x14ac:dyDescent="0.25">
      <c r="A175" s="14" t="s">
        <v>98</v>
      </c>
      <c r="B175" s="28">
        <v>200</v>
      </c>
      <c r="C175" s="28">
        <v>326</v>
      </c>
      <c r="D175" s="28">
        <v>143</v>
      </c>
      <c r="E175" s="28">
        <v>48</v>
      </c>
      <c r="F175" s="28">
        <f>SUM(B175:E175)</f>
        <v>717</v>
      </c>
    </row>
    <row r="176" spans="1:7" x14ac:dyDescent="0.25">
      <c r="A176" s="14" t="s">
        <v>96</v>
      </c>
      <c r="B176" s="28">
        <f>14000000/1000000</f>
        <v>14</v>
      </c>
      <c r="C176" s="28">
        <v>34.340000000000003</v>
      </c>
      <c r="D176" s="28">
        <v>8.4</v>
      </c>
      <c r="E176" s="28">
        <v>4.9400000000000004</v>
      </c>
      <c r="F176" s="11">
        <f>SUM(B176:E176)</f>
        <v>61.68</v>
      </c>
    </row>
    <row r="177" spans="1:7" x14ac:dyDescent="0.25">
      <c r="A177" s="70"/>
      <c r="B177" s="70"/>
      <c r="C177" s="70"/>
      <c r="D177" s="70"/>
      <c r="E177" s="70"/>
      <c r="F177" s="70"/>
      <c r="G177" s="70"/>
    </row>
    <row r="178" spans="1:7" x14ac:dyDescent="0.25">
      <c r="A178" s="71" t="s">
        <v>100</v>
      </c>
      <c r="B178" s="72"/>
      <c r="C178" s="72"/>
      <c r="D178" s="72"/>
      <c r="E178" s="72"/>
      <c r="F178" s="73"/>
    </row>
    <row r="179" spans="1:7" x14ac:dyDescent="0.25">
      <c r="A179" s="14" t="s">
        <v>98</v>
      </c>
      <c r="B179" s="28">
        <v>316</v>
      </c>
      <c r="C179" s="28">
        <v>181591</v>
      </c>
      <c r="D179" s="28">
        <v>0</v>
      </c>
      <c r="E179" s="28">
        <v>0</v>
      </c>
      <c r="F179" s="28">
        <f>SUM(B179:E179)</f>
        <v>181907</v>
      </c>
    </row>
    <row r="180" spans="1:7" x14ac:dyDescent="0.25">
      <c r="A180" s="14" t="s">
        <v>96</v>
      </c>
      <c r="B180" s="28">
        <f>9800000/1000000</f>
        <v>9.8000000000000007</v>
      </c>
      <c r="C180" s="28">
        <v>2723.0474284966199</v>
      </c>
      <c r="D180" s="28">
        <v>0</v>
      </c>
      <c r="E180" s="28">
        <v>0</v>
      </c>
      <c r="F180" s="11">
        <f>SUM(B180:E180)</f>
        <v>2732.8474284966201</v>
      </c>
    </row>
    <row r="181" spans="1:7" x14ac:dyDescent="0.25">
      <c r="A181" s="70"/>
      <c r="B181" s="70"/>
      <c r="C181" s="70"/>
      <c r="D181" s="70"/>
      <c r="E181" s="70"/>
      <c r="F181" s="70"/>
      <c r="G181" s="70"/>
    </row>
    <row r="182" spans="1:7" x14ac:dyDescent="0.25">
      <c r="A182" s="69" t="s">
        <v>101</v>
      </c>
      <c r="B182" s="69"/>
      <c r="C182" s="69"/>
      <c r="D182" s="69"/>
      <c r="E182" s="69"/>
      <c r="F182" s="69"/>
    </row>
    <row r="183" spans="1:7" x14ac:dyDescent="0.25">
      <c r="A183" s="18" t="s">
        <v>102</v>
      </c>
      <c r="B183" s="19">
        <f>+B179+B175+B171+B167</f>
        <v>2615</v>
      </c>
      <c r="C183" s="46">
        <v>187005</v>
      </c>
      <c r="D183" s="19">
        <v>417</v>
      </c>
      <c r="E183" s="19">
        <f>+E179+E175+E171+E167</f>
        <v>1133</v>
      </c>
      <c r="F183" s="19">
        <f>SUM(B183:E183)</f>
        <v>191170</v>
      </c>
    </row>
    <row r="184" spans="1:7" x14ac:dyDescent="0.25">
      <c r="A184" s="18" t="s">
        <v>103</v>
      </c>
      <c r="B184" s="19">
        <f>+B180+B176+B172+B168</f>
        <v>70.977000000000004</v>
      </c>
      <c r="C184" s="46">
        <v>2872.68842849662</v>
      </c>
      <c r="D184" s="19">
        <v>15.100000000000001</v>
      </c>
      <c r="E184" s="19">
        <f>+E180+E176+E172+E168</f>
        <v>36.161000000000001</v>
      </c>
      <c r="F184" s="22">
        <f>SUM(B184:E184)</f>
        <v>2994.9264284966198</v>
      </c>
    </row>
    <row r="185" spans="1:7" x14ac:dyDescent="0.25">
      <c r="A185" s="70"/>
      <c r="B185" s="70"/>
      <c r="C185" s="70"/>
      <c r="D185" s="70"/>
      <c r="E185" s="70"/>
      <c r="F185" s="70"/>
      <c r="G185" s="70"/>
    </row>
    <row r="186" spans="1:7" x14ac:dyDescent="0.25">
      <c r="A186" s="69" t="s">
        <v>104</v>
      </c>
      <c r="B186" s="69"/>
      <c r="C186" s="69"/>
      <c r="D186" s="69"/>
      <c r="E186" s="69"/>
      <c r="F186" s="69"/>
    </row>
    <row r="187" spans="1:7" x14ac:dyDescent="0.25">
      <c r="A187" s="14" t="s">
        <v>105</v>
      </c>
      <c r="B187" s="28">
        <v>4038</v>
      </c>
      <c r="C187" s="28">
        <v>5645</v>
      </c>
      <c r="D187" s="28">
        <v>87</v>
      </c>
      <c r="E187" s="28">
        <v>26537</v>
      </c>
      <c r="F187" s="28">
        <f>SUM(B187:E187)</f>
        <v>36307</v>
      </c>
    </row>
    <row r="188" spans="1:7" x14ac:dyDescent="0.25">
      <c r="A188" s="14" t="s">
        <v>106</v>
      </c>
      <c r="B188" s="28">
        <f>35245053/1000000</f>
        <v>35.245052999999999</v>
      </c>
      <c r="C188" s="28">
        <v>145.71234699999997</v>
      </c>
      <c r="D188" s="28">
        <v>3.42</v>
      </c>
      <c r="E188" s="28">
        <v>211.51393300000001</v>
      </c>
      <c r="F188" s="11">
        <f>SUM(B188:E188)</f>
        <v>395.89133299999992</v>
      </c>
    </row>
    <row r="189" spans="1:7" x14ac:dyDescent="0.25">
      <c r="A189" s="70"/>
      <c r="B189" s="70"/>
      <c r="C189" s="70"/>
      <c r="D189" s="70"/>
      <c r="E189" s="70"/>
      <c r="F189" s="70"/>
      <c r="G189" s="70"/>
    </row>
    <row r="190" spans="1:7" x14ac:dyDescent="0.25">
      <c r="A190" s="69" t="s">
        <v>107</v>
      </c>
      <c r="B190" s="69"/>
      <c r="C190" s="69"/>
      <c r="D190" s="69"/>
      <c r="E190" s="69"/>
      <c r="F190" s="69"/>
    </row>
    <row r="191" spans="1:7" x14ac:dyDescent="0.25">
      <c r="A191" s="18" t="s">
        <v>108</v>
      </c>
      <c r="B191" s="19">
        <f>B187+B162+B183</f>
        <v>10152</v>
      </c>
      <c r="C191" s="46">
        <v>232444</v>
      </c>
      <c r="D191" s="19">
        <v>5105</v>
      </c>
      <c r="E191" s="19">
        <f>E158+E162+E183+E187</f>
        <v>53074</v>
      </c>
      <c r="F191" s="19">
        <f>SUM(B191:E191)</f>
        <v>300775</v>
      </c>
    </row>
    <row r="192" spans="1:7" x14ac:dyDescent="0.25">
      <c r="A192" s="18" t="s">
        <v>109</v>
      </c>
      <c r="B192" s="19">
        <f>B188+B163+B184</f>
        <v>186.49892199999999</v>
      </c>
      <c r="C192" s="46">
        <v>3353.01627149662</v>
      </c>
      <c r="D192" s="19">
        <v>91.22</v>
      </c>
      <c r="E192" s="19">
        <f>E159+E184+E163+E188</f>
        <v>423.00786600000004</v>
      </c>
      <c r="F192" s="22">
        <f>SUM(B192:E192)</f>
        <v>4053.7430594966195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6:F36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8A85-CF7C-4B82-BE1A-D6F14E69B50D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0" t="s">
        <v>1</v>
      </c>
      <c r="D2" s="91"/>
      <c r="E2" s="91"/>
      <c r="F2" s="91"/>
      <c r="G2" s="9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9" t="s">
        <v>7</v>
      </c>
      <c r="C4" s="80"/>
      <c r="D4" s="80"/>
      <c r="E4" s="80"/>
      <c r="F4" s="80"/>
      <c r="G4" s="81"/>
    </row>
    <row r="5" spans="1:7" x14ac:dyDescent="0.25">
      <c r="B5" s="75" t="s">
        <v>8</v>
      </c>
      <c r="C5" s="76"/>
      <c r="D5" s="76"/>
      <c r="E5" s="76"/>
      <c r="F5" s="76"/>
      <c r="G5" s="77"/>
    </row>
    <row r="6" spans="1:7" x14ac:dyDescent="0.25">
      <c r="B6" s="4" t="s">
        <v>9</v>
      </c>
      <c r="C6" s="12">
        <v>55422</v>
      </c>
      <c r="D6" s="12">
        <v>8167</v>
      </c>
      <c r="E6" s="17">
        <v>8615</v>
      </c>
      <c r="F6" s="12">
        <v>10202</v>
      </c>
      <c r="G6" s="12">
        <f>+F6+E6+D6+C6</f>
        <v>82406</v>
      </c>
    </row>
    <row r="7" spans="1:7" x14ac:dyDescent="0.25">
      <c r="B7" s="14" t="s">
        <v>10</v>
      </c>
      <c r="C7" s="12">
        <v>530</v>
      </c>
      <c r="D7" s="12">
        <v>255</v>
      </c>
      <c r="E7" s="17">
        <v>31</v>
      </c>
      <c r="F7" s="12">
        <v>146</v>
      </c>
      <c r="G7" s="12">
        <f>+F7+E7+D7+C7</f>
        <v>962</v>
      </c>
    </row>
    <row r="8" spans="1:7" x14ac:dyDescent="0.25">
      <c r="B8" s="18" t="s">
        <v>11</v>
      </c>
      <c r="C8" s="25">
        <v>55952</v>
      </c>
      <c r="D8" s="25">
        <v>8422</v>
      </c>
      <c r="E8" s="25">
        <v>8646</v>
      </c>
      <c r="F8" s="25">
        <v>10348</v>
      </c>
      <c r="G8" s="25">
        <f>+F8+E8+D8+C8</f>
        <v>83368</v>
      </c>
    </row>
    <row r="9" spans="1:7" x14ac:dyDescent="0.25">
      <c r="B9" s="70"/>
      <c r="C9" s="70"/>
      <c r="D9" s="70"/>
      <c r="E9" s="70"/>
      <c r="F9" s="70"/>
      <c r="G9" s="70"/>
    </row>
    <row r="10" spans="1:7" x14ac:dyDescent="0.25">
      <c r="B10" s="75" t="s">
        <v>12</v>
      </c>
      <c r="C10" s="76"/>
      <c r="D10" s="76"/>
      <c r="E10" s="76"/>
      <c r="F10" s="76"/>
      <c r="G10" s="77"/>
    </row>
    <row r="11" spans="1:7" x14ac:dyDescent="0.25">
      <c r="B11" s="71" t="s">
        <v>13</v>
      </c>
      <c r="C11" s="72"/>
      <c r="D11" s="72"/>
      <c r="E11" s="72"/>
      <c r="F11" s="72"/>
      <c r="G11" s="73"/>
    </row>
    <row r="12" spans="1:7" x14ac:dyDescent="0.25">
      <c r="B12" s="16" t="s">
        <v>14</v>
      </c>
      <c r="C12" s="37">
        <v>847787</v>
      </c>
      <c r="D12" s="37">
        <v>120431</v>
      </c>
      <c r="E12" s="37">
        <v>47670</v>
      </c>
      <c r="F12" s="17">
        <v>0</v>
      </c>
      <c r="G12" s="17">
        <f>SUM(C12:F12)</f>
        <v>1015888</v>
      </c>
    </row>
    <row r="13" spans="1:7" x14ac:dyDescent="0.25">
      <c r="B13" s="16" t="s">
        <v>15</v>
      </c>
      <c r="C13" s="37">
        <v>2424379</v>
      </c>
      <c r="D13" s="37">
        <v>558050</v>
      </c>
      <c r="E13" s="37">
        <v>236273</v>
      </c>
      <c r="F13" s="17">
        <v>0</v>
      </c>
      <c r="G13" s="17">
        <f>SUM(C13:F13)</f>
        <v>3218702</v>
      </c>
    </row>
    <row r="14" spans="1:7" x14ac:dyDescent="0.25">
      <c r="B14" s="18" t="s">
        <v>16</v>
      </c>
      <c r="C14" s="19">
        <v>3272166</v>
      </c>
      <c r="D14" s="19">
        <v>1028082</v>
      </c>
      <c r="E14" s="19">
        <v>283943</v>
      </c>
      <c r="F14" s="19">
        <v>138870</v>
      </c>
      <c r="G14" s="19">
        <f>SUM(C14:F14)</f>
        <v>4723061</v>
      </c>
    </row>
    <row r="15" spans="1:7" x14ac:dyDescent="0.25">
      <c r="B15" s="18" t="s">
        <v>17</v>
      </c>
      <c r="C15" s="19">
        <v>459912</v>
      </c>
      <c r="D15" s="19">
        <v>158444</v>
      </c>
      <c r="E15" s="19">
        <v>3052</v>
      </c>
      <c r="F15" s="19">
        <v>362656</v>
      </c>
      <c r="G15" s="19">
        <f>SUM(C15:F15)</f>
        <v>984064</v>
      </c>
    </row>
    <row r="16" spans="1:7" x14ac:dyDescent="0.25">
      <c r="B16" s="18" t="s">
        <v>18</v>
      </c>
      <c r="C16" s="19">
        <v>3732078</v>
      </c>
      <c r="D16" s="19">
        <v>1186526</v>
      </c>
      <c r="E16" s="19">
        <v>286995</v>
      </c>
      <c r="F16" s="19">
        <v>501526</v>
      </c>
      <c r="G16" s="19">
        <f>SUM(C16:F16)</f>
        <v>5707125</v>
      </c>
    </row>
    <row r="17" spans="2:8" x14ac:dyDescent="0.25">
      <c r="B17" s="70"/>
      <c r="C17" s="70"/>
      <c r="D17" s="70"/>
      <c r="E17" s="70"/>
      <c r="F17" s="70"/>
      <c r="G17" s="70"/>
    </row>
    <row r="18" spans="2:8" x14ac:dyDescent="0.25">
      <c r="B18" s="71" t="s">
        <v>19</v>
      </c>
      <c r="C18" s="72"/>
      <c r="D18" s="72"/>
      <c r="E18" s="72"/>
      <c r="F18" s="72"/>
      <c r="G18" s="73"/>
    </row>
    <row r="19" spans="2:8" x14ac:dyDescent="0.25">
      <c r="B19" s="14" t="s">
        <v>20</v>
      </c>
      <c r="C19" s="28">
        <v>3526</v>
      </c>
      <c r="D19" s="28">
        <v>4</v>
      </c>
      <c r="E19" s="28">
        <v>0</v>
      </c>
      <c r="F19" s="28">
        <v>0</v>
      </c>
      <c r="G19" s="28">
        <f>SUM(C19:F19)</f>
        <v>3530</v>
      </c>
    </row>
    <row r="20" spans="2:8" x14ac:dyDescent="0.25">
      <c r="B20" s="93"/>
      <c r="C20" s="93"/>
      <c r="D20" s="93"/>
      <c r="E20" s="93"/>
      <c r="F20" s="93"/>
      <c r="G20" s="93"/>
    </row>
    <row r="21" spans="2:8" x14ac:dyDescent="0.25">
      <c r="B21" s="18" t="s">
        <v>21</v>
      </c>
      <c r="C21" s="19">
        <f>+C19+C16</f>
        <v>3735604</v>
      </c>
      <c r="D21" s="19">
        <v>1186530</v>
      </c>
      <c r="E21" s="19">
        <v>286995</v>
      </c>
      <c r="F21" s="19">
        <f>F16</f>
        <v>501526</v>
      </c>
      <c r="G21" s="19">
        <f>SUM(C21:F21)</f>
        <v>5710655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60">
        <v>400114</v>
      </c>
      <c r="D24" s="19">
        <v>197004</v>
      </c>
      <c r="E24" s="19">
        <v>136756</v>
      </c>
      <c r="F24" s="19">
        <v>678031</v>
      </c>
      <c r="G24" s="19">
        <f>SUM(C24:F24)</f>
        <v>1411905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4135718</v>
      </c>
      <c r="D27" s="19">
        <v>1383534</v>
      </c>
      <c r="E27" s="19">
        <f>+E21+E24</f>
        <v>423751</v>
      </c>
      <c r="F27" s="19">
        <f>+F24+F21</f>
        <v>1179557</v>
      </c>
      <c r="G27" s="19">
        <f>SUM(C27:F27)</f>
        <v>7122560</v>
      </c>
    </row>
    <row r="28" spans="2:8" x14ac:dyDescent="0.25">
      <c r="B28" s="70"/>
      <c r="C28" s="70"/>
      <c r="D28" s="70"/>
      <c r="E28" s="70"/>
      <c r="F28" s="70"/>
      <c r="G28" s="70"/>
      <c r="H28" s="70"/>
    </row>
    <row r="29" spans="2:8" x14ac:dyDescent="0.25">
      <c r="B29" s="75" t="s">
        <v>26</v>
      </c>
      <c r="C29" s="76"/>
      <c r="D29" s="76"/>
      <c r="E29" s="76"/>
      <c r="F29" s="76"/>
      <c r="G29" s="77"/>
    </row>
    <row r="30" spans="2:8" x14ac:dyDescent="0.25">
      <c r="B30" s="14" t="s">
        <v>27</v>
      </c>
      <c r="C30" s="28">
        <v>1276371</v>
      </c>
      <c r="D30" s="28">
        <v>137046</v>
      </c>
      <c r="E30" s="28">
        <v>79360</v>
      </c>
      <c r="F30" s="28">
        <v>202662</v>
      </c>
      <c r="G30" s="28">
        <f>SUM(C30:F30)</f>
        <v>1695439</v>
      </c>
    </row>
    <row r="31" spans="2:8" x14ac:dyDescent="0.25">
      <c r="B31" s="70"/>
      <c r="C31" s="70"/>
      <c r="D31" s="70"/>
      <c r="E31" s="70"/>
      <c r="F31" s="70"/>
      <c r="G31" s="70"/>
      <c r="H31" s="70"/>
    </row>
    <row r="32" spans="2:8" x14ac:dyDescent="0.25">
      <c r="B32" s="75" t="s">
        <v>28</v>
      </c>
      <c r="C32" s="76"/>
      <c r="D32" s="76"/>
      <c r="E32" s="76"/>
      <c r="F32" s="76"/>
      <c r="G32" s="77"/>
    </row>
    <row r="33" spans="2:9" x14ac:dyDescent="0.25">
      <c r="B33" s="14" t="s">
        <v>29</v>
      </c>
      <c r="C33" s="28">
        <v>3725669018869</v>
      </c>
      <c r="D33" s="28">
        <v>646082105656</v>
      </c>
      <c r="E33" s="28">
        <v>244267434181</v>
      </c>
      <c r="F33" s="28">
        <v>443466189371</v>
      </c>
      <c r="G33" s="28">
        <f>SUM(C33:F33)</f>
        <v>5059484748077</v>
      </c>
    </row>
    <row r="34" spans="2:9" x14ac:dyDescent="0.25">
      <c r="B34" s="14" t="s">
        <v>30</v>
      </c>
      <c r="C34" s="28">
        <v>165561713273</v>
      </c>
      <c r="D34" s="28">
        <v>69429096375</v>
      </c>
      <c r="E34" s="28">
        <v>39699508700</v>
      </c>
      <c r="F34" s="28">
        <v>203934009681</v>
      </c>
      <c r="G34" s="28">
        <f>SUM(C34:F34)</f>
        <v>478624328029</v>
      </c>
    </row>
    <row r="35" spans="2:9" x14ac:dyDescent="0.25">
      <c r="B35" s="41" t="s">
        <v>31</v>
      </c>
      <c r="C35" s="42">
        <v>3891230732142</v>
      </c>
      <c r="D35" s="42">
        <v>715511202031</v>
      </c>
      <c r="E35" s="42">
        <v>283966942881</v>
      </c>
      <c r="F35" s="42">
        <v>647400199052</v>
      </c>
      <c r="G35" s="42">
        <f>SUM(C35:F35)</f>
        <v>5538109076106</v>
      </c>
    </row>
    <row r="36" spans="2:9" x14ac:dyDescent="0.25">
      <c r="B36" s="94" t="s">
        <v>32</v>
      </c>
      <c r="C36" s="94"/>
      <c r="D36" s="94"/>
      <c r="E36" s="94"/>
      <c r="F36" s="94"/>
      <c r="G36" s="94"/>
      <c r="H36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79" t="s">
        <v>33</v>
      </c>
      <c r="C38" s="80"/>
      <c r="D38" s="80"/>
      <c r="E38" s="80"/>
      <c r="F38" s="80"/>
      <c r="G38" s="81"/>
    </row>
    <row r="39" spans="2:9" x14ac:dyDescent="0.25">
      <c r="B39" s="75" t="s">
        <v>34</v>
      </c>
      <c r="C39" s="76"/>
      <c r="D39" s="76"/>
      <c r="E39" s="76"/>
      <c r="F39" s="76"/>
      <c r="G39" s="77"/>
    </row>
    <row r="40" spans="2:9" x14ac:dyDescent="0.25">
      <c r="B40" s="14" t="s">
        <v>35</v>
      </c>
      <c r="C40" s="28">
        <v>676710</v>
      </c>
      <c r="D40" s="28">
        <v>111289</v>
      </c>
      <c r="E40" s="28">
        <v>47516</v>
      </c>
      <c r="F40" s="28">
        <v>64746</v>
      </c>
      <c r="G40" s="28">
        <f>SUM(C40:F40)</f>
        <v>900261</v>
      </c>
      <c r="H40" s="7"/>
      <c r="I40" s="7"/>
    </row>
    <row r="41" spans="2:9" x14ac:dyDescent="0.25">
      <c r="B41" s="14" t="s">
        <v>36</v>
      </c>
      <c r="C41" s="28">
        <v>3698.7512499999998</v>
      </c>
      <c r="D41" s="28">
        <v>1121.7714470000001</v>
      </c>
      <c r="E41" s="28">
        <v>522</v>
      </c>
      <c r="F41" s="12">
        <v>626.35244</v>
      </c>
      <c r="G41" s="11">
        <f>SUM(C41:F41)</f>
        <v>5968.875137</v>
      </c>
      <c r="H41" s="7"/>
      <c r="I41" s="7"/>
    </row>
    <row r="42" spans="2:9" x14ac:dyDescent="0.25">
      <c r="B42" s="70"/>
      <c r="C42" s="70"/>
      <c r="D42" s="70"/>
      <c r="E42" s="70"/>
      <c r="F42" s="70"/>
      <c r="G42" s="70"/>
      <c r="H42" s="70"/>
      <c r="I42" s="7"/>
    </row>
    <row r="43" spans="2:9" x14ac:dyDescent="0.25">
      <c r="B43" s="69" t="s">
        <v>37</v>
      </c>
      <c r="C43" s="69"/>
      <c r="D43" s="69"/>
      <c r="E43" s="69"/>
      <c r="F43" s="69"/>
      <c r="G43" s="69"/>
      <c r="I43" s="7"/>
    </row>
    <row r="44" spans="2:9" x14ac:dyDescent="0.25">
      <c r="B44" s="14" t="s">
        <v>38</v>
      </c>
      <c r="C44">
        <v>6</v>
      </c>
      <c r="D44" s="28">
        <v>9</v>
      </c>
      <c r="E44" s="28">
        <v>2</v>
      </c>
      <c r="F44" s="28">
        <v>0</v>
      </c>
      <c r="G44" s="28">
        <f>SUM(C44:F44)</f>
        <v>17</v>
      </c>
      <c r="H44" s="7"/>
      <c r="I44" s="7"/>
    </row>
    <row r="45" spans="2:9" x14ac:dyDescent="0.25">
      <c r="B45" s="14" t="s">
        <v>39</v>
      </c>
      <c r="C45" s="28">
        <f>4700645/1000000</f>
        <v>4.7006449999999997</v>
      </c>
      <c r="D45" s="28">
        <v>0.121374</v>
      </c>
      <c r="E45" s="28">
        <v>8.0000000000000002E-3</v>
      </c>
      <c r="F45" s="28">
        <v>0</v>
      </c>
      <c r="G45" s="11">
        <f>SUM(C45:F45)</f>
        <v>4.8300190000000001</v>
      </c>
      <c r="H45" s="7"/>
      <c r="I45" s="7"/>
    </row>
    <row r="46" spans="2:9" x14ac:dyDescent="0.25">
      <c r="B46" s="70"/>
      <c r="C46" s="70"/>
      <c r="D46" s="70"/>
      <c r="E46" s="70"/>
      <c r="F46" s="70"/>
      <c r="G46" s="70"/>
      <c r="H46" s="70"/>
      <c r="I46" s="7"/>
    </row>
    <row r="47" spans="2:9" x14ac:dyDescent="0.25">
      <c r="B47" s="69" t="s">
        <v>40</v>
      </c>
      <c r="C47" s="69"/>
      <c r="D47" s="69"/>
      <c r="E47" s="69"/>
      <c r="F47" s="69"/>
      <c r="G47" s="69"/>
      <c r="I47" s="7"/>
    </row>
    <row r="48" spans="2:9" x14ac:dyDescent="0.25">
      <c r="B48" s="14" t="s">
        <v>41</v>
      </c>
      <c r="C48" s="28">
        <v>169132</v>
      </c>
      <c r="D48" s="28">
        <v>82635</v>
      </c>
      <c r="E48" s="28">
        <v>14486</v>
      </c>
      <c r="F48" s="28">
        <v>59857</v>
      </c>
      <c r="G48" s="28">
        <f>SUM(C48:F48)</f>
        <v>326110</v>
      </c>
      <c r="H48" s="7"/>
      <c r="I48" s="7"/>
    </row>
    <row r="49" spans="2:9" x14ac:dyDescent="0.25">
      <c r="B49" s="14" t="s">
        <v>42</v>
      </c>
      <c r="C49" s="28">
        <v>80731.893999000007</v>
      </c>
      <c r="D49" s="28">
        <v>29633</v>
      </c>
      <c r="E49" s="28">
        <v>10788</v>
      </c>
      <c r="F49" s="12">
        <v>11442.835752000001</v>
      </c>
      <c r="G49" s="11">
        <f>SUM(C49:F49)</f>
        <v>132595.72975100001</v>
      </c>
      <c r="H49" s="7"/>
      <c r="I49" s="7"/>
    </row>
    <row r="50" spans="2:9" x14ac:dyDescent="0.25">
      <c r="B50" s="70"/>
      <c r="C50" s="70"/>
      <c r="D50" s="70"/>
      <c r="E50" s="70"/>
      <c r="F50" s="70"/>
      <c r="G50" s="70"/>
      <c r="H50" s="70"/>
    </row>
    <row r="51" spans="2:9" ht="21" x14ac:dyDescent="0.35">
      <c r="B51" s="79" t="s">
        <v>43</v>
      </c>
      <c r="C51" s="80"/>
      <c r="D51" s="80"/>
      <c r="E51" s="80"/>
      <c r="F51" s="80"/>
      <c r="G51" s="81"/>
    </row>
    <row r="52" spans="2:9" x14ac:dyDescent="0.25">
      <c r="B52" s="89"/>
      <c r="C52" s="89"/>
      <c r="D52" s="89"/>
      <c r="E52" s="89"/>
      <c r="F52" s="89"/>
      <c r="G52" s="89"/>
      <c r="H52" s="89"/>
    </row>
    <row r="53" spans="2:9" x14ac:dyDescent="0.25">
      <c r="B53" s="69" t="s">
        <v>44</v>
      </c>
      <c r="C53" s="69"/>
      <c r="D53" s="69"/>
      <c r="E53" s="69"/>
      <c r="F53" s="69"/>
      <c r="G53" s="69"/>
    </row>
    <row r="54" spans="2:9" x14ac:dyDescent="0.25">
      <c r="B54" s="74" t="s">
        <v>45</v>
      </c>
      <c r="C54" s="74"/>
      <c r="D54" s="74"/>
      <c r="E54" s="74"/>
      <c r="F54" s="74"/>
      <c r="G54" s="74"/>
    </row>
    <row r="55" spans="2:9" x14ac:dyDescent="0.25">
      <c r="B55" s="14" t="s">
        <v>46</v>
      </c>
      <c r="C55" s="28">
        <v>87250</v>
      </c>
      <c r="D55" s="28">
        <v>4051</v>
      </c>
      <c r="E55" s="28">
        <v>1205</v>
      </c>
      <c r="F55" s="28">
        <v>3595</v>
      </c>
      <c r="G55" s="28">
        <f t="shared" ref="G55:G71" si="0">SUM(C55:F55)</f>
        <v>96101</v>
      </c>
    </row>
    <row r="56" spans="2:9" x14ac:dyDescent="0.25">
      <c r="B56" s="14" t="s">
        <v>47</v>
      </c>
      <c r="C56" s="28">
        <v>63817.951129000001</v>
      </c>
      <c r="D56" s="28">
        <v>5310.2397759999803</v>
      </c>
      <c r="E56" s="28">
        <v>1845</v>
      </c>
      <c r="F56" s="28">
        <v>9333</v>
      </c>
      <c r="G56" s="28">
        <f t="shared" si="0"/>
        <v>80306.190904999981</v>
      </c>
    </row>
    <row r="57" spans="2:9" x14ac:dyDescent="0.25">
      <c r="B57" s="14" t="s">
        <v>48</v>
      </c>
      <c r="C57" s="28">
        <v>14.4096848137536</v>
      </c>
      <c r="D57" s="28">
        <v>36</v>
      </c>
      <c r="E57" s="28">
        <v>22</v>
      </c>
      <c r="F57" s="28">
        <v>32</v>
      </c>
      <c r="G57" s="28">
        <f>AVERAGE(C57:F57)</f>
        <v>26.1024212034384</v>
      </c>
    </row>
    <row r="58" spans="2:9" x14ac:dyDescent="0.25">
      <c r="B58" s="14" t="s">
        <v>49</v>
      </c>
      <c r="C58" s="28">
        <v>897417</v>
      </c>
      <c r="D58" s="28">
        <v>138755</v>
      </c>
      <c r="E58" s="97">
        <v>50523</v>
      </c>
      <c r="F58" s="28">
        <v>73606</v>
      </c>
      <c r="G58" s="28">
        <f t="shared" si="0"/>
        <v>1160301</v>
      </c>
    </row>
    <row r="59" spans="2:9" x14ac:dyDescent="0.25">
      <c r="B59" s="14" t="s">
        <v>50</v>
      </c>
      <c r="C59" s="28">
        <v>1744925.2349459999</v>
      </c>
      <c r="D59" s="28">
        <v>262176.74370400002</v>
      </c>
      <c r="E59" s="97">
        <v>109991.76257399999</v>
      </c>
      <c r="F59" s="28">
        <v>162294</v>
      </c>
      <c r="G59" s="11">
        <f t="shared" si="0"/>
        <v>2279387.7412239998</v>
      </c>
    </row>
    <row r="60" spans="2:9" x14ac:dyDescent="0.25">
      <c r="B60" s="74" t="s">
        <v>51</v>
      </c>
      <c r="C60" s="74"/>
      <c r="D60" s="74"/>
      <c r="E60" s="74"/>
      <c r="F60" s="74"/>
      <c r="G60" s="7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4" t="s">
        <v>52</v>
      </c>
      <c r="C66" s="74"/>
      <c r="D66" s="74"/>
      <c r="E66" s="74"/>
      <c r="F66" s="74"/>
      <c r="G66" s="74"/>
    </row>
    <row r="67" spans="2:8" x14ac:dyDescent="0.25">
      <c r="B67" s="14" t="s">
        <v>46</v>
      </c>
      <c r="C67" s="28">
        <v>5812</v>
      </c>
      <c r="D67" s="28">
        <v>1328</v>
      </c>
      <c r="E67" s="28">
        <v>1322</v>
      </c>
      <c r="F67" s="28">
        <v>9150</v>
      </c>
      <c r="G67" s="28">
        <f t="shared" si="0"/>
        <v>17612</v>
      </c>
    </row>
    <row r="68" spans="2:8" x14ac:dyDescent="0.25">
      <c r="B68" s="14" t="s">
        <v>47</v>
      </c>
      <c r="C68" s="28">
        <v>4707.6415559999996</v>
      </c>
      <c r="D68" s="28">
        <v>1411.2460100000001</v>
      </c>
      <c r="E68" s="28">
        <v>1333</v>
      </c>
      <c r="F68" s="28">
        <v>10913</v>
      </c>
      <c r="G68" s="28">
        <f t="shared" si="0"/>
        <v>18364.887565999998</v>
      </c>
    </row>
    <row r="69" spans="2:8" x14ac:dyDescent="0.25">
      <c r="B69" s="14" t="s">
        <v>48</v>
      </c>
      <c r="C69" s="28">
        <v>38.481245698554702</v>
      </c>
      <c r="D69" s="28">
        <v>55</v>
      </c>
      <c r="E69" s="28">
        <v>49</v>
      </c>
      <c r="F69" s="28">
        <v>38</v>
      </c>
      <c r="G69" s="28">
        <f>AVERAGE(C69:F69)</f>
        <v>45.120311424638672</v>
      </c>
    </row>
    <row r="70" spans="2:8" x14ac:dyDescent="0.25">
      <c r="B70" s="14" t="s">
        <v>49</v>
      </c>
      <c r="C70" s="28">
        <v>130300</v>
      </c>
      <c r="D70" s="28">
        <v>86586</v>
      </c>
      <c r="E70" s="28">
        <v>57030</v>
      </c>
      <c r="F70" s="28">
        <v>256293</v>
      </c>
      <c r="G70" s="28">
        <f t="shared" si="0"/>
        <v>530209</v>
      </c>
    </row>
    <row r="71" spans="2:8" x14ac:dyDescent="0.25">
      <c r="B71" s="14" t="s">
        <v>50</v>
      </c>
      <c r="C71" s="28">
        <v>130113.764908</v>
      </c>
      <c r="D71" s="28">
        <v>98011.731889000002</v>
      </c>
      <c r="E71" s="28">
        <v>59043.500539000001</v>
      </c>
      <c r="F71" s="28">
        <v>231142</v>
      </c>
      <c r="G71" s="11">
        <f t="shared" si="0"/>
        <v>518310.99733599997</v>
      </c>
    </row>
    <row r="72" spans="2:8" x14ac:dyDescent="0.25">
      <c r="B72" s="83" t="s">
        <v>53</v>
      </c>
      <c r="C72" s="84"/>
      <c r="D72" s="84"/>
      <c r="E72" s="84"/>
      <c r="F72" s="84"/>
      <c r="G72" s="85"/>
    </row>
    <row r="73" spans="2:8" x14ac:dyDescent="0.25">
      <c r="B73" s="18" t="s">
        <v>54</v>
      </c>
      <c r="C73" s="19">
        <v>93062</v>
      </c>
      <c r="D73" s="19">
        <v>5379</v>
      </c>
      <c r="E73" s="19">
        <v>2527</v>
      </c>
      <c r="F73" s="19">
        <v>12745</v>
      </c>
      <c r="G73" s="19">
        <f>SUM(C73:F73)</f>
        <v>113713</v>
      </c>
    </row>
    <row r="74" spans="2:8" x14ac:dyDescent="0.25">
      <c r="B74" s="18" t="s">
        <v>47</v>
      </c>
      <c r="C74" s="19">
        <v>68525.592684999996</v>
      </c>
      <c r="D74" s="19">
        <v>6721.4857859999802</v>
      </c>
      <c r="E74" s="19">
        <v>3178</v>
      </c>
      <c r="F74" s="19">
        <v>20246</v>
      </c>
      <c r="G74" s="22">
        <f>SUM(C74:F74)</f>
        <v>98671.078470999972</v>
      </c>
    </row>
    <row r="75" spans="2:8" x14ac:dyDescent="0.25">
      <c r="B75" s="18" t="s">
        <v>48</v>
      </c>
      <c r="C75" s="19">
        <v>15.9130257247856</v>
      </c>
      <c r="D75" s="19">
        <v>30.333333333333332</v>
      </c>
      <c r="E75" s="19">
        <v>71</v>
      </c>
      <c r="F75" s="19">
        <v>35</v>
      </c>
      <c r="G75" s="19">
        <f>AVERAGE(C75:F75)</f>
        <v>38.061589764529735</v>
      </c>
    </row>
    <row r="76" spans="2:8" x14ac:dyDescent="0.25">
      <c r="B76" s="18" t="s">
        <v>49</v>
      </c>
      <c r="C76" s="19">
        <v>1027717</v>
      </c>
      <c r="D76" s="19">
        <v>257548</v>
      </c>
      <c r="E76" s="19">
        <v>107553</v>
      </c>
      <c r="F76" s="19">
        <v>329899</v>
      </c>
      <c r="G76" s="19">
        <f>SUM(C76:F76)</f>
        <v>1722717</v>
      </c>
    </row>
    <row r="77" spans="2:8" x14ac:dyDescent="0.25">
      <c r="B77" s="18" t="s">
        <v>50</v>
      </c>
      <c r="C77" s="19">
        <v>1875038.9998539998</v>
      </c>
      <c r="D77" s="19">
        <v>433840.96623900003</v>
      </c>
      <c r="E77" s="19">
        <v>169035.26311299999</v>
      </c>
      <c r="F77" s="19">
        <v>393436</v>
      </c>
      <c r="G77" s="22">
        <f>SUM(C77:F77)</f>
        <v>2871351.229206</v>
      </c>
    </row>
    <row r="78" spans="2:8" x14ac:dyDescent="0.25">
      <c r="B78" s="70"/>
      <c r="C78" s="70"/>
      <c r="D78" s="70"/>
      <c r="E78" s="70"/>
      <c r="F78" s="70"/>
      <c r="G78" s="70"/>
      <c r="H78" s="70"/>
    </row>
    <row r="79" spans="2:8" x14ac:dyDescent="0.25">
      <c r="B79" s="75" t="s">
        <v>55</v>
      </c>
      <c r="C79" s="76"/>
      <c r="D79" s="76"/>
      <c r="E79" s="76"/>
      <c r="F79" s="76"/>
      <c r="G79" s="77"/>
    </row>
    <row r="80" spans="2:8" x14ac:dyDescent="0.25">
      <c r="B80" s="71" t="s">
        <v>45</v>
      </c>
      <c r="C80" s="72"/>
      <c r="D80" s="72"/>
      <c r="E80" s="72"/>
      <c r="F80" s="72"/>
      <c r="G80" s="7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8">
        <v>1020</v>
      </c>
      <c r="D84" s="28">
        <v>118</v>
      </c>
      <c r="E84" s="14">
        <v>6</v>
      </c>
      <c r="F84" s="24">
        <v>95</v>
      </c>
      <c r="G84" s="24">
        <f>SUM(C84:F84)</f>
        <v>1239</v>
      </c>
    </row>
    <row r="85" spans="2:7" x14ac:dyDescent="0.25">
      <c r="B85" s="14" t="s">
        <v>50</v>
      </c>
      <c r="C85" s="28">
        <v>22164.19816</v>
      </c>
      <c r="D85" s="28">
        <v>1499</v>
      </c>
      <c r="E85" s="14">
        <v>79</v>
      </c>
      <c r="F85" s="28">
        <v>1743.5821550000001</v>
      </c>
      <c r="G85" s="11">
        <f>SUM(C85:F85)</f>
        <v>25485.780315</v>
      </c>
    </row>
    <row r="86" spans="2:7" x14ac:dyDescent="0.25">
      <c r="B86" s="71" t="s">
        <v>51</v>
      </c>
      <c r="C86" s="72"/>
      <c r="D86" s="72"/>
      <c r="E86" s="72"/>
      <c r="F86" s="72"/>
      <c r="G86" s="7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1" t="s">
        <v>52</v>
      </c>
      <c r="C92" s="72"/>
      <c r="D92" s="72"/>
      <c r="E92" s="72"/>
      <c r="F92" s="72"/>
      <c r="G92" s="73"/>
    </row>
    <row r="93" spans="2:7" x14ac:dyDescent="0.25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33">
        <v>12</v>
      </c>
      <c r="D96" s="20">
        <v>0</v>
      </c>
      <c r="E96" s="33">
        <v>0</v>
      </c>
      <c r="F96" s="24">
        <v>8</v>
      </c>
      <c r="G96" s="28">
        <f>SUM(C96:F96)</f>
        <v>20</v>
      </c>
    </row>
    <row r="97" spans="2:8" x14ac:dyDescent="0.25">
      <c r="B97" s="14" t="s">
        <v>50</v>
      </c>
      <c r="C97" s="33">
        <v>188.869934</v>
      </c>
      <c r="D97" s="20">
        <v>0</v>
      </c>
      <c r="E97" s="33">
        <v>0</v>
      </c>
      <c r="F97" s="24">
        <v>104.377608</v>
      </c>
      <c r="G97" s="11">
        <f>SUM(C97:F97)</f>
        <v>293.24754200000001</v>
      </c>
    </row>
    <row r="98" spans="2:8" x14ac:dyDescent="0.25">
      <c r="B98" s="83" t="s">
        <v>56</v>
      </c>
      <c r="C98" s="84"/>
      <c r="D98" s="84"/>
      <c r="E98" s="84"/>
      <c r="F98" s="84"/>
      <c r="G98" s="8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1032</v>
      </c>
      <c r="D102" s="19">
        <v>118</v>
      </c>
      <c r="E102" s="19">
        <f>+E84</f>
        <v>6</v>
      </c>
      <c r="F102" s="47">
        <f>+F96+F84</f>
        <v>103</v>
      </c>
      <c r="G102" s="19">
        <f>SUM(C102:F102)</f>
        <v>1259</v>
      </c>
    </row>
    <row r="103" spans="2:8" x14ac:dyDescent="0.25">
      <c r="B103" s="18" t="s">
        <v>50</v>
      </c>
      <c r="C103" s="19">
        <f>+C97+C85</f>
        <v>22353.068093999998</v>
      </c>
      <c r="D103" s="19">
        <v>1499</v>
      </c>
      <c r="E103" s="19">
        <f>+E85</f>
        <v>79</v>
      </c>
      <c r="F103" s="45">
        <f>+F85+F97</f>
        <v>1847.9597630000001</v>
      </c>
      <c r="G103" s="22">
        <f>SUM(C103:F103)</f>
        <v>25779.027856999997</v>
      </c>
    </row>
    <row r="104" spans="2:8" x14ac:dyDescent="0.25">
      <c r="B104" s="70"/>
      <c r="C104" s="70"/>
      <c r="D104" s="70"/>
      <c r="E104" s="70"/>
      <c r="F104" s="70"/>
      <c r="G104" s="70"/>
      <c r="H104" s="70"/>
    </row>
    <row r="105" spans="2:8" x14ac:dyDescent="0.25">
      <c r="B105" s="69" t="s">
        <v>57</v>
      </c>
      <c r="C105" s="69"/>
      <c r="D105" s="69"/>
      <c r="E105" s="69"/>
      <c r="F105" s="69"/>
      <c r="G105" s="69"/>
    </row>
    <row r="106" spans="2:8" x14ac:dyDescent="0.25">
      <c r="B106" s="74" t="s">
        <v>58</v>
      </c>
      <c r="C106" s="74"/>
      <c r="D106" s="74"/>
      <c r="E106" s="74"/>
      <c r="F106" s="74"/>
      <c r="G106" s="74"/>
    </row>
    <row r="107" spans="2:8" x14ac:dyDescent="0.25">
      <c r="B107" s="14" t="s">
        <v>59</v>
      </c>
      <c r="C107" s="13">
        <v>2.8378380822509182</v>
      </c>
      <c r="D107" s="13">
        <v>2.4476688867744887</v>
      </c>
      <c r="E107" s="14">
        <v>2.86</v>
      </c>
      <c r="F107" s="13">
        <v>2.54</v>
      </c>
      <c r="G107" s="13">
        <f>AVERAGE(C107:F107)</f>
        <v>2.6713767422563519</v>
      </c>
    </row>
    <row r="108" spans="2:8" x14ac:dyDescent="0.25">
      <c r="B108" s="14" t="s">
        <v>60</v>
      </c>
      <c r="C108" s="13">
        <v>2.4905141231456338</v>
      </c>
      <c r="D108" s="13">
        <v>2.4500000000000308</v>
      </c>
      <c r="E108" s="14">
        <v>2.88</v>
      </c>
      <c r="F108" s="13">
        <v>2.66</v>
      </c>
      <c r="G108" s="13">
        <f>AVERAGE(C108:F108)</f>
        <v>2.6201285307864159</v>
      </c>
    </row>
    <row r="109" spans="2:8" x14ac:dyDescent="0.25">
      <c r="B109" s="14" t="s">
        <v>61</v>
      </c>
      <c r="C109" s="13">
        <v>2.3295117233519473</v>
      </c>
      <c r="D109" s="13">
        <v>2.6102118003025523</v>
      </c>
      <c r="E109" s="14">
        <v>2.79</v>
      </c>
      <c r="F109" s="13">
        <v>2.69</v>
      </c>
      <c r="G109" s="13">
        <f>AVERAGE(C109:F109)</f>
        <v>2.6049308809136251</v>
      </c>
    </row>
    <row r="110" spans="2:8" x14ac:dyDescent="0.25">
      <c r="B110" s="74" t="s">
        <v>62</v>
      </c>
      <c r="C110" s="74"/>
      <c r="D110" s="74"/>
      <c r="E110" s="74"/>
      <c r="F110" s="74"/>
      <c r="G110" s="74"/>
    </row>
    <row r="111" spans="2:8" x14ac:dyDescent="0.25">
      <c r="B111" s="14" t="s">
        <v>59</v>
      </c>
      <c r="C111" s="13">
        <v>2.3199999999999998</v>
      </c>
      <c r="D111" s="13">
        <v>1.5999999999999999</v>
      </c>
      <c r="E111" s="14">
        <v>1.99</v>
      </c>
      <c r="F111" s="14">
        <v>1.99</v>
      </c>
      <c r="G111" s="13">
        <f>AVERAGE(C111:F111)</f>
        <v>1.9750000000000001</v>
      </c>
    </row>
    <row r="112" spans="2:8" x14ac:dyDescent="0.25">
      <c r="B112" s="14" t="s">
        <v>60</v>
      </c>
      <c r="C112" s="13">
        <v>2.1520481927710873</v>
      </c>
      <c r="D112" s="13">
        <v>2.1599999999999993</v>
      </c>
      <c r="E112" s="14">
        <v>2.2000000000000002</v>
      </c>
      <c r="F112" s="13">
        <v>2.16</v>
      </c>
      <c r="G112" s="13">
        <f>AVERAGE(C112:F112)</f>
        <v>2.1680120481927716</v>
      </c>
    </row>
    <row r="113" spans="2:9" x14ac:dyDescent="0.25">
      <c r="B113" s="14" t="s">
        <v>61</v>
      </c>
      <c r="C113" s="13">
        <v>2.1488598726114776</v>
      </c>
      <c r="D113" s="13">
        <v>2.1600000000000028</v>
      </c>
      <c r="E113" s="14">
        <v>2.2999999999999998</v>
      </c>
      <c r="F113" s="13">
        <v>2.19</v>
      </c>
      <c r="G113" s="13">
        <f>AVERAGE(C113:F113)</f>
        <v>2.19971496815287</v>
      </c>
    </row>
    <row r="114" spans="2:9" x14ac:dyDescent="0.25">
      <c r="B114" s="70"/>
      <c r="C114" s="70"/>
      <c r="D114" s="70"/>
      <c r="E114" s="70"/>
      <c r="F114" s="70"/>
      <c r="G114" s="70"/>
      <c r="H114" s="70"/>
      <c r="I114" s="70"/>
    </row>
    <row r="115" spans="2:9" x14ac:dyDescent="0.25">
      <c r="B115" s="74" t="s">
        <v>63</v>
      </c>
      <c r="C115" s="74"/>
      <c r="D115" s="74"/>
      <c r="E115" s="74"/>
      <c r="F115" s="74"/>
      <c r="G115" s="74"/>
    </row>
    <row r="116" spans="2:9" x14ac:dyDescent="0.25">
      <c r="B116" s="14" t="s">
        <v>59</v>
      </c>
      <c r="C116" s="13">
        <v>1.4979347054648582</v>
      </c>
      <c r="D116" s="13">
        <v>1.7900000000000023</v>
      </c>
      <c r="E116" s="20">
        <v>2.06</v>
      </c>
      <c r="F116" s="13">
        <v>1.84</v>
      </c>
      <c r="G116" s="13">
        <f>AVERAGE(C116:F116)</f>
        <v>1.796983676366215</v>
      </c>
    </row>
    <row r="117" spans="2:9" x14ac:dyDescent="0.25">
      <c r="B117" s="14" t="s">
        <v>60</v>
      </c>
      <c r="C117" s="13">
        <v>1.7571624400274515</v>
      </c>
      <c r="D117" s="13">
        <v>1.7824472573839727</v>
      </c>
      <c r="E117" s="20">
        <v>2.02</v>
      </c>
      <c r="F117" s="13">
        <v>1.84</v>
      </c>
      <c r="G117" s="13">
        <f>AVERAGE(C117:F117)</f>
        <v>1.8499024243528561</v>
      </c>
    </row>
    <row r="118" spans="2:9" x14ac:dyDescent="0.25">
      <c r="B118" s="14" t="s">
        <v>61</v>
      </c>
      <c r="C118" s="13">
        <v>1.7520235655738032</v>
      </c>
      <c r="D118" s="13">
        <v>1.7886434255399462</v>
      </c>
      <c r="E118" s="20">
        <v>2.2799999999999998</v>
      </c>
      <c r="F118" s="20">
        <v>2.04</v>
      </c>
      <c r="G118" s="13">
        <f>AVERAGE(C118:F118)</f>
        <v>1.9651667477784371</v>
      </c>
    </row>
    <row r="119" spans="2:9" x14ac:dyDescent="0.25">
      <c r="B119" s="71" t="s">
        <v>64</v>
      </c>
      <c r="C119" s="72"/>
      <c r="D119" s="72"/>
      <c r="E119" s="72"/>
      <c r="F119" s="72"/>
      <c r="G119" s="73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4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1.9</v>
      </c>
      <c r="F122" s="13">
        <v>1.74</v>
      </c>
      <c r="G122" s="13">
        <f>AVERAGE(C122:F122)</f>
        <v>1.625</v>
      </c>
    </row>
    <row r="123" spans="2:9" x14ac:dyDescent="0.25">
      <c r="B123" s="70"/>
      <c r="C123" s="70"/>
      <c r="D123" s="70"/>
      <c r="E123" s="70"/>
      <c r="F123" s="70"/>
      <c r="G123" s="70"/>
      <c r="H123" s="70"/>
    </row>
    <row r="124" spans="2:9" x14ac:dyDescent="0.25">
      <c r="B124" s="75" t="s">
        <v>65</v>
      </c>
      <c r="C124" s="76"/>
      <c r="D124" s="76"/>
      <c r="E124" s="76"/>
      <c r="F124" s="76"/>
      <c r="G124" s="7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5" t="s">
        <v>67</v>
      </c>
      <c r="C126" s="76"/>
      <c r="D126" s="76"/>
      <c r="E126" s="76"/>
      <c r="F126" s="76"/>
      <c r="G126" s="77"/>
    </row>
    <row r="127" spans="2:9" x14ac:dyDescent="0.25">
      <c r="B127" s="3" t="s">
        <v>68</v>
      </c>
      <c r="C127" s="13">
        <v>1.72</v>
      </c>
      <c r="D127" s="39">
        <v>2.0481379999999998</v>
      </c>
      <c r="E127" s="34">
        <v>2.1632387972297646</v>
      </c>
      <c r="F127" s="34">
        <v>0</v>
      </c>
      <c r="G127" s="11">
        <f>AVERAGE(C127:F127)</f>
        <v>1.482844199307441</v>
      </c>
    </row>
    <row r="128" spans="2:9" x14ac:dyDescent="0.25">
      <c r="B128" s="82"/>
      <c r="C128" s="82"/>
      <c r="D128" s="82"/>
      <c r="E128" s="82"/>
      <c r="F128" s="82"/>
      <c r="G128" s="82"/>
      <c r="H128" s="82"/>
    </row>
    <row r="129" spans="2:9" x14ac:dyDescent="0.25">
      <c r="B129" s="69" t="s">
        <v>69</v>
      </c>
      <c r="C129" s="69"/>
      <c r="D129" s="69"/>
      <c r="E129" s="69"/>
      <c r="F129" s="69"/>
      <c r="G129" s="69"/>
    </row>
    <row r="130" spans="2:9" x14ac:dyDescent="0.25">
      <c r="B130" s="14" t="s">
        <v>70</v>
      </c>
      <c r="C130" s="28">
        <v>243760</v>
      </c>
      <c r="D130" s="28">
        <v>3447</v>
      </c>
      <c r="E130" s="28">
        <v>8559</v>
      </c>
      <c r="F130" s="28">
        <v>795</v>
      </c>
      <c r="G130" s="28">
        <f>SUM(C130:F130)</f>
        <v>256561</v>
      </c>
    </row>
    <row r="131" spans="2:9" x14ac:dyDescent="0.25">
      <c r="B131" s="14" t="s">
        <v>71</v>
      </c>
      <c r="C131" s="28">
        <v>162836.75445000001</v>
      </c>
      <c r="D131" s="28">
        <v>3868</v>
      </c>
      <c r="E131" s="28">
        <v>1098</v>
      </c>
      <c r="F131" s="28">
        <v>817.53290600000003</v>
      </c>
      <c r="G131" s="11">
        <f>SUM(C131:F131)</f>
        <v>168620.28735600002</v>
      </c>
    </row>
    <row r="132" spans="2:9" x14ac:dyDescent="0.25">
      <c r="B132" s="70"/>
      <c r="C132" s="70"/>
      <c r="D132" s="70"/>
      <c r="E132" s="70"/>
      <c r="F132" s="70"/>
      <c r="G132" s="70"/>
      <c r="H132" s="70"/>
    </row>
    <row r="133" spans="2:9" x14ac:dyDescent="0.25">
      <c r="B133" s="69" t="s">
        <v>72</v>
      </c>
      <c r="C133" s="69"/>
      <c r="D133" s="69"/>
      <c r="E133" s="69"/>
      <c r="F133" s="69"/>
      <c r="G133" s="69"/>
    </row>
    <row r="134" spans="2:9" x14ac:dyDescent="0.25">
      <c r="B134" s="14" t="s">
        <v>73</v>
      </c>
      <c r="C134" s="28">
        <v>595992</v>
      </c>
      <c r="D134" s="28">
        <v>360288</v>
      </c>
      <c r="E134" s="28">
        <v>121459</v>
      </c>
      <c r="F134" s="28">
        <v>290470</v>
      </c>
      <c r="G134" s="28">
        <f>SUM(C134:F134)</f>
        <v>1368209</v>
      </c>
    </row>
    <row r="135" spans="2:9" x14ac:dyDescent="0.25">
      <c r="B135" s="70"/>
      <c r="C135" s="70"/>
      <c r="D135" s="70"/>
      <c r="E135" s="70"/>
      <c r="F135" s="70"/>
      <c r="G135" s="70"/>
      <c r="H135" s="70"/>
    </row>
    <row r="136" spans="2:9" ht="21" x14ac:dyDescent="0.35">
      <c r="B136" s="78" t="s">
        <v>74</v>
      </c>
      <c r="C136" s="78"/>
      <c r="D136" s="78"/>
      <c r="E136" s="78"/>
      <c r="F136" s="78"/>
      <c r="G136" s="78"/>
    </row>
    <row r="137" spans="2:9" x14ac:dyDescent="0.25">
      <c r="B137" s="69" t="s">
        <v>75</v>
      </c>
      <c r="C137" s="69"/>
      <c r="D137" s="69"/>
      <c r="E137" s="69"/>
      <c r="F137" s="69"/>
      <c r="G137" s="69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15589</v>
      </c>
      <c r="G138" s="28">
        <f>SUM(C138:F138)</f>
        <v>15589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184</v>
      </c>
      <c r="G139" s="28">
        <f>SUM(C139:F139)</f>
        <v>184</v>
      </c>
      <c r="H139" s="7"/>
      <c r="I139" s="7"/>
    </row>
    <row r="140" spans="2:9" x14ac:dyDescent="0.25">
      <c r="B140" s="70"/>
      <c r="C140" s="70"/>
      <c r="D140" s="70"/>
      <c r="E140" s="70"/>
      <c r="F140" s="70"/>
      <c r="G140" s="70"/>
      <c r="H140" s="70"/>
      <c r="I140" s="7"/>
    </row>
    <row r="141" spans="2:9" x14ac:dyDescent="0.25">
      <c r="B141" s="70"/>
      <c r="C141" s="70"/>
      <c r="D141" s="70"/>
      <c r="E141" s="70"/>
      <c r="F141" s="70"/>
      <c r="G141" s="70"/>
      <c r="H141" s="70"/>
    </row>
    <row r="142" spans="2:9" ht="21" x14ac:dyDescent="0.35">
      <c r="B142" s="79" t="s">
        <v>78</v>
      </c>
      <c r="C142" s="80"/>
      <c r="D142" s="80"/>
      <c r="E142" s="80"/>
      <c r="F142" s="80"/>
      <c r="G142" s="81"/>
    </row>
    <row r="143" spans="2:9" x14ac:dyDescent="0.25">
      <c r="B143" s="75" t="s">
        <v>79</v>
      </c>
      <c r="C143" s="76"/>
      <c r="D143" s="76"/>
      <c r="E143" s="76"/>
      <c r="F143" s="76"/>
      <c r="G143" s="77"/>
    </row>
    <row r="144" spans="2:9" x14ac:dyDescent="0.25">
      <c r="B144" s="70"/>
      <c r="C144" s="70"/>
      <c r="D144" s="70"/>
      <c r="E144" s="70"/>
      <c r="F144" s="70"/>
      <c r="G144" s="70"/>
      <c r="H144" s="70"/>
    </row>
    <row r="145" spans="2:8" x14ac:dyDescent="0.25">
      <c r="B145" s="74" t="s">
        <v>80</v>
      </c>
      <c r="C145" s="74"/>
      <c r="D145" s="74"/>
      <c r="E145" s="74"/>
      <c r="F145" s="74"/>
      <c r="G145" s="74"/>
    </row>
    <row r="146" spans="2:8" x14ac:dyDescent="0.25">
      <c r="B146" s="14" t="s">
        <v>81</v>
      </c>
      <c r="C146" s="28">
        <v>0</v>
      </c>
      <c r="D146" s="28">
        <v>1562</v>
      </c>
      <c r="E146" s="28">
        <v>0</v>
      </c>
      <c r="F146" s="1">
        <v>1053</v>
      </c>
      <c r="G146" s="28">
        <f>SUM(C146:F146)</f>
        <v>2615</v>
      </c>
    </row>
    <row r="147" spans="2:8" x14ac:dyDescent="0.25">
      <c r="B147" s="14" t="s">
        <v>82</v>
      </c>
      <c r="C147" s="28">
        <v>0</v>
      </c>
      <c r="D147" s="28">
        <v>35.372</v>
      </c>
      <c r="E147" s="28">
        <v>0</v>
      </c>
      <c r="F147" s="30">
        <v>11.8505</v>
      </c>
      <c r="G147" s="11">
        <f>SUM(C147:F147)</f>
        <v>47.222499999999997</v>
      </c>
    </row>
    <row r="148" spans="2:8" x14ac:dyDescent="0.25">
      <c r="B148" s="70"/>
      <c r="C148" s="70"/>
      <c r="D148" s="70"/>
      <c r="E148" s="70"/>
      <c r="F148" s="70"/>
      <c r="G148" s="70"/>
      <c r="H148" s="70"/>
    </row>
    <row r="149" spans="2:8" x14ac:dyDescent="0.25">
      <c r="B149" s="74" t="s">
        <v>83</v>
      </c>
      <c r="C149" s="74"/>
      <c r="D149" s="74"/>
      <c r="E149" s="74"/>
      <c r="F149" s="74"/>
      <c r="G149" s="74"/>
    </row>
    <row r="150" spans="2:8" x14ac:dyDescent="0.25">
      <c r="B150" s="14" t="s">
        <v>84</v>
      </c>
      <c r="C150" s="28">
        <v>0</v>
      </c>
      <c r="D150" s="37">
        <v>1</v>
      </c>
      <c r="E150" s="28">
        <v>0</v>
      </c>
      <c r="F150" s="28">
        <v>0</v>
      </c>
      <c r="G150" s="28">
        <f>SUM(C150:F150)</f>
        <v>1</v>
      </c>
      <c r="H150"/>
    </row>
    <row r="151" spans="2:8" x14ac:dyDescent="0.25">
      <c r="B151" s="14" t="s">
        <v>85</v>
      </c>
      <c r="C151" s="28">
        <v>0</v>
      </c>
      <c r="D151" s="68">
        <v>0.02</v>
      </c>
      <c r="E151" s="28">
        <v>0</v>
      </c>
      <c r="F151" s="28"/>
      <c r="G151" s="11">
        <f>SUM(C151:F151)</f>
        <v>0.02</v>
      </c>
      <c r="H151"/>
    </row>
    <row r="152" spans="2:8" x14ac:dyDescent="0.25">
      <c r="B152" s="70"/>
      <c r="C152" s="70"/>
      <c r="D152" s="70"/>
      <c r="E152" s="70"/>
      <c r="F152" s="70"/>
      <c r="G152" s="70"/>
      <c r="H152" s="70"/>
    </row>
    <row r="153" spans="2:8" x14ac:dyDescent="0.25">
      <c r="B153" s="74" t="s">
        <v>86</v>
      </c>
      <c r="C153" s="74"/>
      <c r="D153" s="74"/>
      <c r="E153" s="74"/>
      <c r="F153" s="74"/>
      <c r="G153" s="74"/>
    </row>
    <row r="154" spans="2:8" x14ac:dyDescent="0.25">
      <c r="B154" s="14" t="s">
        <v>87</v>
      </c>
      <c r="C154" s="14">
        <v>0</v>
      </c>
      <c r="D154" s="28">
        <v>72</v>
      </c>
      <c r="E154" s="36">
        <v>0</v>
      </c>
      <c r="F154" s="35">
        <v>0</v>
      </c>
      <c r="G154" s="28">
        <f>SUM(C154:F154)</f>
        <v>72</v>
      </c>
      <c r="H154"/>
    </row>
    <row r="155" spans="2:8" x14ac:dyDescent="0.25">
      <c r="B155" s="14" t="s">
        <v>88</v>
      </c>
      <c r="C155" s="11">
        <v>0</v>
      </c>
      <c r="D155" s="11">
        <v>1.0900000000000001</v>
      </c>
      <c r="E155" s="36">
        <v>0</v>
      </c>
      <c r="F155" s="35">
        <v>0</v>
      </c>
      <c r="G155" s="11">
        <f>SUM(C155:F155)</f>
        <v>1.0900000000000001</v>
      </c>
      <c r="H155"/>
    </row>
    <row r="156" spans="2:8" x14ac:dyDescent="0.25">
      <c r="B156" s="70"/>
      <c r="C156" s="70"/>
      <c r="D156" s="70"/>
      <c r="E156" s="70"/>
      <c r="F156" s="70"/>
      <c r="G156" s="70"/>
      <c r="H156" s="70"/>
    </row>
    <row r="157" spans="2:8" x14ac:dyDescent="0.25">
      <c r="B157" s="71" t="s">
        <v>89</v>
      </c>
      <c r="C157" s="72"/>
      <c r="D157" s="72"/>
      <c r="E157" s="72"/>
      <c r="F157" s="72"/>
      <c r="G157" s="73"/>
    </row>
    <row r="158" spans="2:8" x14ac:dyDescent="0.25">
      <c r="B158" s="18" t="s">
        <v>90</v>
      </c>
      <c r="C158" s="19">
        <v>0</v>
      </c>
      <c r="D158" s="46">
        <v>1635</v>
      </c>
      <c r="E158" s="19">
        <v>0</v>
      </c>
      <c r="F158" s="19">
        <f>F146+F154</f>
        <v>1053</v>
      </c>
      <c r="G158" s="19">
        <f>SUM(C158:F158)</f>
        <v>2688</v>
      </c>
    </row>
    <row r="159" spans="2:8" x14ac:dyDescent="0.25">
      <c r="B159" s="18" t="s">
        <v>91</v>
      </c>
      <c r="C159" s="19">
        <v>0</v>
      </c>
      <c r="D159" s="46">
        <v>36.482000000000006</v>
      </c>
      <c r="E159" s="19">
        <v>0</v>
      </c>
      <c r="F159" s="19">
        <f>F147+F155</f>
        <v>11.8505</v>
      </c>
      <c r="G159" s="22">
        <f>SUM(C159:F159)</f>
        <v>48.33250000000001</v>
      </c>
    </row>
    <row r="160" spans="2:8" x14ac:dyDescent="0.25">
      <c r="B160" s="70"/>
      <c r="C160" s="70"/>
      <c r="D160" s="70"/>
      <c r="E160" s="70"/>
      <c r="F160" s="70"/>
      <c r="G160" s="70"/>
      <c r="H160" s="70"/>
    </row>
    <row r="161" spans="2:8" x14ac:dyDescent="0.25">
      <c r="B161" s="69" t="s">
        <v>92</v>
      </c>
      <c r="C161" s="69"/>
      <c r="D161" s="69"/>
      <c r="E161" s="69"/>
      <c r="F161" s="69"/>
      <c r="G161" s="69"/>
    </row>
    <row r="162" spans="2:8" x14ac:dyDescent="0.25">
      <c r="B162" s="14" t="s">
        <v>87</v>
      </c>
      <c r="C162" s="28">
        <v>3078</v>
      </c>
      <c r="D162" s="28">
        <v>19838</v>
      </c>
      <c r="E162" s="28">
        <v>4051</v>
      </c>
      <c r="F162" s="28">
        <v>20845</v>
      </c>
      <c r="G162" s="28">
        <f>SUM(C162:F162)</f>
        <v>47812</v>
      </c>
    </row>
    <row r="163" spans="2:8" x14ac:dyDescent="0.25">
      <c r="B163" s="14" t="s">
        <v>88</v>
      </c>
      <c r="C163" s="28">
        <v>70.441243999999998</v>
      </c>
      <c r="D163" s="28">
        <v>162.683009</v>
      </c>
      <c r="E163" s="28">
        <v>76</v>
      </c>
      <c r="F163" s="28">
        <v>134.25239999999999</v>
      </c>
      <c r="G163" s="11">
        <f>SUM(C163:F163)</f>
        <v>443.37665300000003</v>
      </c>
    </row>
    <row r="164" spans="2:8" x14ac:dyDescent="0.25">
      <c r="B164" s="70"/>
      <c r="C164" s="70"/>
      <c r="D164" s="70"/>
      <c r="E164" s="70"/>
      <c r="F164" s="70"/>
      <c r="G164" s="70"/>
    </row>
    <row r="165" spans="2:8" x14ac:dyDescent="0.25">
      <c r="B165" s="75" t="s">
        <v>93</v>
      </c>
      <c r="C165" s="76"/>
      <c r="D165" s="76"/>
      <c r="E165" s="76"/>
      <c r="F165" s="76"/>
      <c r="G165" s="77"/>
    </row>
    <row r="166" spans="2:8" x14ac:dyDescent="0.25">
      <c r="B166" s="71" t="s">
        <v>94</v>
      </c>
      <c r="C166" s="72"/>
      <c r="D166" s="72"/>
      <c r="E166" s="72"/>
      <c r="F166" s="72"/>
      <c r="G166" s="73"/>
    </row>
    <row r="167" spans="2:8" x14ac:dyDescent="0.25">
      <c r="B167" s="14" t="s">
        <v>95</v>
      </c>
      <c r="C167" s="28">
        <v>259</v>
      </c>
      <c r="D167" s="28">
        <v>3482</v>
      </c>
      <c r="E167" s="28">
        <v>69</v>
      </c>
      <c r="F167" s="14">
        <v>460</v>
      </c>
      <c r="G167" s="28">
        <f>SUM(C167:F167)</f>
        <v>4270</v>
      </c>
    </row>
    <row r="168" spans="2:8" x14ac:dyDescent="0.25">
      <c r="B168" s="14" t="s">
        <v>96</v>
      </c>
      <c r="C168" s="28">
        <v>6.4749999999999996</v>
      </c>
      <c r="D168" s="28">
        <v>79.975179999999995</v>
      </c>
      <c r="E168" s="14">
        <v>1.7</v>
      </c>
      <c r="F168" s="28">
        <v>17.11</v>
      </c>
      <c r="G168" s="11">
        <f>SUM(C168:F168)</f>
        <v>105.26017999999999</v>
      </c>
    </row>
    <row r="169" spans="2:8" x14ac:dyDescent="0.25">
      <c r="B169" s="70"/>
      <c r="C169" s="70"/>
      <c r="D169" s="70"/>
      <c r="E169" s="70"/>
      <c r="F169" s="70"/>
      <c r="G169" s="70"/>
    </row>
    <row r="170" spans="2:8" x14ac:dyDescent="0.25">
      <c r="B170" s="71" t="s">
        <v>97</v>
      </c>
      <c r="C170" s="72"/>
      <c r="D170" s="72"/>
      <c r="E170" s="72"/>
      <c r="F170" s="72"/>
      <c r="G170" s="73"/>
    </row>
    <row r="171" spans="2:8" x14ac:dyDescent="0.25">
      <c r="B171" s="14" t="s">
        <v>98</v>
      </c>
      <c r="C171" s="28">
        <v>1567</v>
      </c>
      <c r="D171" s="28">
        <v>577</v>
      </c>
      <c r="E171" s="28">
        <v>130</v>
      </c>
      <c r="F171" s="14">
        <v>335</v>
      </c>
      <c r="G171" s="28">
        <f>SUM(C171:F171)</f>
        <v>2609</v>
      </c>
    </row>
    <row r="172" spans="2:8" x14ac:dyDescent="0.25">
      <c r="B172" s="14" t="s">
        <v>96</v>
      </c>
      <c r="C172" s="28">
        <v>34.473999999999997</v>
      </c>
      <c r="D172" s="28">
        <v>12.159000000000001</v>
      </c>
      <c r="E172" s="14">
        <v>3.2</v>
      </c>
      <c r="F172" s="28">
        <v>7.3630000000000004</v>
      </c>
      <c r="G172" s="11">
        <f>SUM(C172:F172)</f>
        <v>57.195999999999998</v>
      </c>
    </row>
    <row r="173" spans="2:8" x14ac:dyDescent="0.25">
      <c r="B173" s="70"/>
      <c r="C173" s="70"/>
      <c r="D173" s="70"/>
      <c r="E173" s="70"/>
      <c r="F173" s="70"/>
      <c r="G173" s="70"/>
      <c r="H173" s="70"/>
    </row>
    <row r="174" spans="2:8" x14ac:dyDescent="0.25">
      <c r="B174" s="71" t="s">
        <v>99</v>
      </c>
      <c r="C174" s="72"/>
      <c r="D174" s="72"/>
      <c r="E174" s="72"/>
      <c r="F174" s="72"/>
      <c r="G174" s="73"/>
    </row>
    <row r="175" spans="2:8" x14ac:dyDescent="0.25">
      <c r="B175" s="14" t="s">
        <v>98</v>
      </c>
      <c r="C175" s="28">
        <v>187</v>
      </c>
      <c r="D175" s="28">
        <v>370</v>
      </c>
      <c r="E175" s="14">
        <v>134</v>
      </c>
      <c r="F175" s="14">
        <v>49</v>
      </c>
      <c r="G175" s="28">
        <f>SUM(C175:F175)</f>
        <v>740</v>
      </c>
    </row>
    <row r="176" spans="2:8" x14ac:dyDescent="0.25">
      <c r="B176" s="14" t="s">
        <v>96</v>
      </c>
      <c r="C176" s="28">
        <v>13.09</v>
      </c>
      <c r="D176" s="28">
        <v>39.03</v>
      </c>
      <c r="E176" s="61">
        <v>8.1</v>
      </c>
      <c r="F176" s="28">
        <v>5.07</v>
      </c>
      <c r="G176" s="11">
        <f>SUM(C176:F176)</f>
        <v>65.290000000000006</v>
      </c>
    </row>
    <row r="177" spans="2:8" x14ac:dyDescent="0.25">
      <c r="B177" s="70"/>
      <c r="C177" s="70"/>
      <c r="D177" s="70"/>
      <c r="E177" s="70"/>
      <c r="F177" s="70"/>
      <c r="G177" s="70"/>
      <c r="H177" s="70"/>
    </row>
    <row r="178" spans="2:8" x14ac:dyDescent="0.25">
      <c r="B178" s="71" t="s">
        <v>100</v>
      </c>
      <c r="C178" s="72"/>
      <c r="D178" s="72"/>
      <c r="E178" s="72"/>
      <c r="F178" s="72"/>
      <c r="G178" s="73"/>
    </row>
    <row r="179" spans="2:8" x14ac:dyDescent="0.25">
      <c r="B179" s="14" t="s">
        <v>98</v>
      </c>
      <c r="C179" s="28">
        <v>299</v>
      </c>
      <c r="D179" s="28">
        <v>238819</v>
      </c>
      <c r="E179" s="28">
        <v>0</v>
      </c>
      <c r="F179" s="28">
        <v>0</v>
      </c>
      <c r="G179" s="28">
        <f>SUM(C179:F179)</f>
        <v>239118</v>
      </c>
    </row>
    <row r="180" spans="2:8" x14ac:dyDescent="0.25">
      <c r="B180" s="14" t="s">
        <v>96</v>
      </c>
      <c r="C180" s="28">
        <v>9.02</v>
      </c>
      <c r="D180" s="28">
        <v>2477.8339009347696</v>
      </c>
      <c r="E180" s="28">
        <v>0</v>
      </c>
      <c r="F180" s="28">
        <v>0</v>
      </c>
      <c r="G180" s="11">
        <f>SUM(C180:F180)</f>
        <v>2486.8539009347696</v>
      </c>
    </row>
    <row r="181" spans="2:8" x14ac:dyDescent="0.25">
      <c r="B181" s="70"/>
      <c r="C181" s="70"/>
      <c r="D181" s="70"/>
      <c r="E181" s="70"/>
      <c r="F181" s="70"/>
      <c r="G181" s="70"/>
      <c r="H181" s="70"/>
    </row>
    <row r="182" spans="2:8" x14ac:dyDescent="0.25">
      <c r="B182" s="69" t="s">
        <v>101</v>
      </c>
      <c r="C182" s="69"/>
      <c r="D182" s="69"/>
      <c r="E182" s="69"/>
      <c r="F182" s="69"/>
      <c r="G182" s="69"/>
    </row>
    <row r="183" spans="2:8" x14ac:dyDescent="0.25">
      <c r="B183" s="18" t="s">
        <v>102</v>
      </c>
      <c r="C183" s="19">
        <f>+C179+C175+C171+C167</f>
        <v>2312</v>
      </c>
      <c r="D183" s="46">
        <v>243248</v>
      </c>
      <c r="E183" s="19">
        <v>333</v>
      </c>
      <c r="F183" s="19">
        <f>+F179+F175+F171+F167</f>
        <v>844</v>
      </c>
      <c r="G183" s="19">
        <f>SUM(C183:F183)</f>
        <v>246737</v>
      </c>
    </row>
    <row r="184" spans="2:8" x14ac:dyDescent="0.25">
      <c r="B184" s="18" t="s">
        <v>103</v>
      </c>
      <c r="C184" s="19">
        <f>+C180+C176+C172+C168</f>
        <v>63.058999999999997</v>
      </c>
      <c r="D184" s="46">
        <v>2608.9980809347699</v>
      </c>
      <c r="E184" s="19">
        <v>13</v>
      </c>
      <c r="F184" s="19">
        <f>+F180+F176+F172+F168</f>
        <v>29.542999999999999</v>
      </c>
      <c r="G184" s="22">
        <f>SUM(C184:F184)</f>
        <v>2714.6000809347702</v>
      </c>
    </row>
    <row r="185" spans="2:8" x14ac:dyDescent="0.25">
      <c r="B185" s="70"/>
      <c r="C185" s="70"/>
      <c r="D185" s="70"/>
      <c r="E185" s="70"/>
      <c r="F185" s="70"/>
      <c r="G185" s="70"/>
      <c r="H185" s="70"/>
    </row>
    <row r="186" spans="2:8" x14ac:dyDescent="0.25">
      <c r="B186" s="69" t="s">
        <v>104</v>
      </c>
      <c r="C186" s="69"/>
      <c r="D186" s="69"/>
      <c r="E186" s="69"/>
      <c r="F186" s="69"/>
      <c r="G186" s="69"/>
    </row>
    <row r="187" spans="2:8" x14ac:dyDescent="0.25">
      <c r="B187" s="14" t="s">
        <v>105</v>
      </c>
      <c r="C187" s="28">
        <v>3196</v>
      </c>
      <c r="D187" s="28">
        <v>4433</v>
      </c>
      <c r="E187" s="28">
        <v>0</v>
      </c>
      <c r="F187" s="28">
        <v>22742</v>
      </c>
      <c r="G187" s="28">
        <f>SUM(C187:F187)</f>
        <v>30371</v>
      </c>
    </row>
    <row r="188" spans="2:8" x14ac:dyDescent="0.25">
      <c r="B188" s="14" t="s">
        <v>106</v>
      </c>
      <c r="C188" s="28">
        <v>26.367056000000002</v>
      </c>
      <c r="D188" s="28">
        <v>143.45336200000003</v>
      </c>
      <c r="E188" s="28">
        <v>0</v>
      </c>
      <c r="F188" s="28">
        <v>175.66589999999997</v>
      </c>
      <c r="G188" s="11">
        <f>SUM(C188:F188)</f>
        <v>345.48631799999998</v>
      </c>
    </row>
    <row r="189" spans="2:8" x14ac:dyDescent="0.25">
      <c r="B189" s="70"/>
      <c r="C189" s="70"/>
      <c r="D189" s="70"/>
      <c r="E189" s="70"/>
      <c r="F189" s="70"/>
      <c r="G189" s="70"/>
      <c r="H189" s="70"/>
    </row>
    <row r="190" spans="2:8" x14ac:dyDescent="0.25">
      <c r="B190" s="69" t="s">
        <v>107</v>
      </c>
      <c r="C190" s="69"/>
      <c r="D190" s="69"/>
      <c r="E190" s="69"/>
      <c r="F190" s="69"/>
      <c r="G190" s="69"/>
    </row>
    <row r="191" spans="2:8" x14ac:dyDescent="0.25">
      <c r="B191" s="18" t="s">
        <v>108</v>
      </c>
      <c r="C191" s="19">
        <f>C187+C162+C183</f>
        <v>8586</v>
      </c>
      <c r="D191" s="46">
        <v>269154</v>
      </c>
      <c r="E191" s="19">
        <f>E162+E183+E187</f>
        <v>4384</v>
      </c>
      <c r="F191" s="19">
        <f>F158+F162+F183+F187</f>
        <v>45484</v>
      </c>
      <c r="G191" s="19">
        <f>SUM(C191:F191)</f>
        <v>327608</v>
      </c>
    </row>
    <row r="192" spans="2:8" x14ac:dyDescent="0.25">
      <c r="B192" s="18" t="s">
        <v>109</v>
      </c>
      <c r="C192" s="19">
        <f>C188+C163+C184</f>
        <v>159.8673</v>
      </c>
      <c r="D192" s="46">
        <v>2951.6164519347699</v>
      </c>
      <c r="E192" s="19">
        <f>E163+E184+E188</f>
        <v>89</v>
      </c>
      <c r="F192" s="19">
        <f>F159+F184+F163+F188</f>
        <v>351.31179999999995</v>
      </c>
      <c r="G192" s="22">
        <f>SUM(C192:F192)</f>
        <v>3551.7955519347697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6:G36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F123-9029-4698-BE1F-5D9498513EFA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0" t="s">
        <v>1</v>
      </c>
      <c r="D2" s="91"/>
      <c r="E2" s="91"/>
      <c r="F2" s="91"/>
      <c r="G2" s="92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9" t="s">
        <v>7</v>
      </c>
      <c r="C4" s="80"/>
      <c r="D4" s="80"/>
      <c r="E4" s="80"/>
      <c r="F4" s="80"/>
      <c r="G4" s="81"/>
    </row>
    <row r="5" spans="1:7" x14ac:dyDescent="0.25">
      <c r="B5" s="75" t="s">
        <v>8</v>
      </c>
      <c r="C5" s="76"/>
      <c r="D5" s="76"/>
      <c r="E5" s="76"/>
      <c r="F5" s="76"/>
      <c r="G5" s="77"/>
    </row>
    <row r="6" spans="1:7" x14ac:dyDescent="0.25">
      <c r="B6" s="4" t="s">
        <v>9</v>
      </c>
      <c r="C6" s="12">
        <v>55242</v>
      </c>
      <c r="D6" s="12">
        <v>8165</v>
      </c>
      <c r="E6" s="12">
        <v>8588</v>
      </c>
      <c r="F6" s="12">
        <v>10144</v>
      </c>
      <c r="G6" s="12">
        <f>+F6+E6+D6+C6</f>
        <v>82139</v>
      </c>
    </row>
    <row r="7" spans="1:7" x14ac:dyDescent="0.25">
      <c r="B7" s="14" t="s">
        <v>10</v>
      </c>
      <c r="C7" s="12">
        <v>532</v>
      </c>
      <c r="D7" s="12">
        <v>255</v>
      </c>
      <c r="E7" s="12">
        <v>31</v>
      </c>
      <c r="F7" s="12">
        <v>145</v>
      </c>
      <c r="G7" s="12">
        <f>+F7+E7+D7+C7</f>
        <v>963</v>
      </c>
    </row>
    <row r="8" spans="1:7" x14ac:dyDescent="0.25">
      <c r="B8" s="18" t="s">
        <v>11</v>
      </c>
      <c r="C8" s="25">
        <f>SUM(C6:C7)</f>
        <v>55774</v>
      </c>
      <c r="D8" s="25">
        <f>+D6+D7</f>
        <v>8420</v>
      </c>
      <c r="E8" s="25">
        <v>8619</v>
      </c>
      <c r="F8" s="25">
        <v>10289</v>
      </c>
      <c r="G8" s="25">
        <f>+F8+E8+D8+C8</f>
        <v>83102</v>
      </c>
    </row>
    <row r="9" spans="1:7" x14ac:dyDescent="0.25">
      <c r="B9" s="70"/>
      <c r="C9" s="70"/>
      <c r="D9" s="70"/>
      <c r="E9" s="70"/>
      <c r="F9" s="70"/>
      <c r="G9" s="70"/>
    </row>
    <row r="10" spans="1:7" x14ac:dyDescent="0.25">
      <c r="B10" s="75" t="s">
        <v>12</v>
      </c>
      <c r="C10" s="76"/>
      <c r="D10" s="76"/>
      <c r="E10" s="76"/>
      <c r="F10" s="76"/>
      <c r="G10" s="77"/>
    </row>
    <row r="11" spans="1:7" x14ac:dyDescent="0.25">
      <c r="B11" s="71" t="s">
        <v>13</v>
      </c>
      <c r="C11" s="72"/>
      <c r="D11" s="72"/>
      <c r="E11" s="72"/>
      <c r="F11" s="72"/>
      <c r="G11" s="73"/>
    </row>
    <row r="12" spans="1:7" x14ac:dyDescent="0.25">
      <c r="B12" s="16" t="s">
        <v>14</v>
      </c>
      <c r="C12" s="17">
        <v>836230</v>
      </c>
      <c r="D12" s="17">
        <v>118970</v>
      </c>
      <c r="E12" s="17">
        <v>46973</v>
      </c>
      <c r="F12" s="17">
        <v>0</v>
      </c>
      <c r="G12" s="17">
        <f>SUM(C12:F12)</f>
        <v>1002173</v>
      </c>
    </row>
    <row r="13" spans="1:7" x14ac:dyDescent="0.25">
      <c r="B13" s="16" t="s">
        <v>15</v>
      </c>
      <c r="C13" s="17">
        <v>2394137</v>
      </c>
      <c r="D13" s="17">
        <v>556880</v>
      </c>
      <c r="E13" s="17">
        <v>235150</v>
      </c>
      <c r="F13" s="17">
        <v>0</v>
      </c>
      <c r="G13" s="17">
        <f>SUM(C13:F13)</f>
        <v>3186167</v>
      </c>
    </row>
    <row r="14" spans="1:7" x14ac:dyDescent="0.25">
      <c r="B14" s="18" t="s">
        <v>16</v>
      </c>
      <c r="C14" s="19">
        <v>3230367</v>
      </c>
      <c r="D14" s="19">
        <v>1017241</v>
      </c>
      <c r="E14" s="19">
        <v>282123</v>
      </c>
      <c r="F14" s="19">
        <v>140656</v>
      </c>
      <c r="G14" s="19">
        <f>SUM(C14:F14)</f>
        <v>4670387</v>
      </c>
    </row>
    <row r="15" spans="1:7" x14ac:dyDescent="0.25">
      <c r="B15" s="18" t="s">
        <v>17</v>
      </c>
      <c r="C15" s="19">
        <v>461443</v>
      </c>
      <c r="D15" s="19">
        <v>157714</v>
      </c>
      <c r="E15" s="19">
        <v>3095</v>
      </c>
      <c r="F15" s="19">
        <v>363230</v>
      </c>
      <c r="G15" s="19">
        <f>SUM(C15:F15)</f>
        <v>985482</v>
      </c>
    </row>
    <row r="16" spans="1:7" x14ac:dyDescent="0.25">
      <c r="B16" s="18" t="s">
        <v>18</v>
      </c>
      <c r="C16" s="19">
        <v>3691810</v>
      </c>
      <c r="D16" s="19">
        <v>1174955</v>
      </c>
      <c r="E16" s="19">
        <v>285218</v>
      </c>
      <c r="F16" s="19">
        <v>503886</v>
      </c>
      <c r="G16" s="19">
        <f>SUM(C16:F16)</f>
        <v>5655869</v>
      </c>
    </row>
    <row r="17" spans="2:8" x14ac:dyDescent="0.25">
      <c r="B17" s="70"/>
      <c r="C17" s="70"/>
      <c r="D17" s="70"/>
      <c r="E17" s="70"/>
      <c r="F17" s="70"/>
      <c r="G17" s="70"/>
    </row>
    <row r="18" spans="2:8" x14ac:dyDescent="0.25">
      <c r="B18" s="71" t="s">
        <v>19</v>
      </c>
      <c r="C18" s="72"/>
      <c r="D18" s="72"/>
      <c r="E18" s="72"/>
      <c r="F18" s="72"/>
      <c r="G18" s="73"/>
    </row>
    <row r="19" spans="2:8" x14ac:dyDescent="0.25">
      <c r="B19" s="14" t="s">
        <v>20</v>
      </c>
      <c r="C19" s="17">
        <v>3529</v>
      </c>
      <c r="D19" s="28">
        <v>4</v>
      </c>
      <c r="E19" s="28">
        <v>0</v>
      </c>
      <c r="F19" s="28">
        <v>0</v>
      </c>
      <c r="G19" s="28">
        <f>SUM(C19:F19)</f>
        <v>3533</v>
      </c>
    </row>
    <row r="20" spans="2:8" x14ac:dyDescent="0.25">
      <c r="B20" s="93"/>
      <c r="C20" s="93"/>
      <c r="D20" s="93"/>
      <c r="E20" s="93"/>
      <c r="F20" s="93"/>
      <c r="G20" s="93"/>
    </row>
    <row r="21" spans="2:8" x14ac:dyDescent="0.25">
      <c r="B21" s="18" t="s">
        <v>21</v>
      </c>
      <c r="C21" s="19">
        <f>+C19+C16</f>
        <v>3695339</v>
      </c>
      <c r="D21" s="19">
        <v>1174959</v>
      </c>
      <c r="E21" s="19">
        <v>285218</v>
      </c>
      <c r="F21" s="19">
        <f>F16</f>
        <v>503886</v>
      </c>
      <c r="G21" s="19">
        <f>SUM(C21:F21)</f>
        <v>5659402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400559</v>
      </c>
      <c r="D24" s="19">
        <v>196605</v>
      </c>
      <c r="E24" s="19">
        <v>136644</v>
      </c>
      <c r="F24" s="19">
        <v>680332</v>
      </c>
      <c r="G24" s="19">
        <f>SUM(C24:F24)</f>
        <v>1414140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4095898</v>
      </c>
      <c r="D27" s="19">
        <v>1371564</v>
      </c>
      <c r="E27" s="19">
        <f>+E21+E24</f>
        <v>421862</v>
      </c>
      <c r="F27" s="19">
        <f>+F24+F21</f>
        <v>1184218</v>
      </c>
      <c r="G27" s="19">
        <f>SUM(C27:F27)</f>
        <v>7073542</v>
      </c>
    </row>
    <row r="28" spans="2:8" x14ac:dyDescent="0.25">
      <c r="B28" s="70"/>
      <c r="C28" s="70"/>
      <c r="D28" s="70"/>
      <c r="E28" s="70"/>
      <c r="F28" s="70"/>
      <c r="G28" s="70"/>
      <c r="H28" s="70"/>
    </row>
    <row r="29" spans="2:8" x14ac:dyDescent="0.25">
      <c r="B29" s="75" t="s">
        <v>26</v>
      </c>
      <c r="C29" s="76"/>
      <c r="D29" s="76"/>
      <c r="E29" s="76"/>
      <c r="F29" s="76"/>
      <c r="G29" s="77"/>
    </row>
    <row r="30" spans="2:8" x14ac:dyDescent="0.25">
      <c r="B30" s="14" t="s">
        <v>27</v>
      </c>
      <c r="C30" s="17">
        <v>1284463</v>
      </c>
      <c r="D30" s="17">
        <v>138368</v>
      </c>
      <c r="E30" s="17">
        <v>79622</v>
      </c>
      <c r="F30" s="17">
        <v>208516</v>
      </c>
      <c r="G30" s="28">
        <f>SUM(C30:F30)</f>
        <v>1710969</v>
      </c>
    </row>
    <row r="31" spans="2:8" x14ac:dyDescent="0.25">
      <c r="B31" s="70"/>
      <c r="C31" s="70"/>
      <c r="D31" s="70"/>
      <c r="E31" s="70"/>
      <c r="F31" s="70"/>
      <c r="G31" s="70"/>
      <c r="H31" s="70"/>
    </row>
    <row r="32" spans="2:8" x14ac:dyDescent="0.25">
      <c r="B32" s="75" t="s">
        <v>28</v>
      </c>
      <c r="C32" s="76"/>
      <c r="D32" s="76"/>
      <c r="E32" s="76"/>
      <c r="F32" s="76"/>
      <c r="G32" s="77"/>
    </row>
    <row r="33" spans="2:9" x14ac:dyDescent="0.25">
      <c r="B33" s="14" t="s">
        <v>29</v>
      </c>
      <c r="C33" s="17">
        <v>3751737279419</v>
      </c>
      <c r="D33" s="17">
        <v>627910797058</v>
      </c>
      <c r="E33" s="17">
        <v>249302392056</v>
      </c>
      <c r="F33" s="17">
        <v>450119312739</v>
      </c>
      <c r="G33" s="28">
        <f>SUM(C33:F33)</f>
        <v>5079069781272</v>
      </c>
    </row>
    <row r="34" spans="2:9" x14ac:dyDescent="0.25">
      <c r="B34" s="14" t="s">
        <v>30</v>
      </c>
      <c r="C34" s="17">
        <v>166812563767</v>
      </c>
      <c r="D34" s="17">
        <v>68959260882</v>
      </c>
      <c r="E34" s="17">
        <v>37095729400</v>
      </c>
      <c r="F34" s="17">
        <v>205720352606</v>
      </c>
      <c r="G34" s="28">
        <f>SUM(C34:F34)</f>
        <v>478587906655</v>
      </c>
    </row>
    <row r="35" spans="2:9" x14ac:dyDescent="0.25">
      <c r="B35" s="41" t="s">
        <v>31</v>
      </c>
      <c r="C35" s="19">
        <v>3918549843186</v>
      </c>
      <c r="D35" s="19">
        <v>696870057940</v>
      </c>
      <c r="E35" s="19">
        <v>286398121456</v>
      </c>
      <c r="F35" s="19">
        <v>655839665345</v>
      </c>
      <c r="G35" s="42">
        <f>SUM(C35:F35)</f>
        <v>5557657687927</v>
      </c>
    </row>
    <row r="36" spans="2:9" x14ac:dyDescent="0.25">
      <c r="B36" s="94" t="s">
        <v>32</v>
      </c>
      <c r="C36" s="94"/>
      <c r="D36" s="94"/>
      <c r="E36" s="94"/>
      <c r="F36" s="94"/>
      <c r="G36" s="94"/>
      <c r="H36" s="94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79" t="s">
        <v>33</v>
      </c>
      <c r="C38" s="80"/>
      <c r="D38" s="80"/>
      <c r="E38" s="80"/>
      <c r="F38" s="80"/>
      <c r="G38" s="81"/>
    </row>
    <row r="39" spans="2:9" x14ac:dyDescent="0.25">
      <c r="B39" s="75" t="s">
        <v>34</v>
      </c>
      <c r="C39" s="76"/>
      <c r="D39" s="76"/>
      <c r="E39" s="76"/>
      <c r="F39" s="76"/>
      <c r="G39" s="77"/>
    </row>
    <row r="40" spans="2:9" x14ac:dyDescent="0.25">
      <c r="B40" s="14" t="s">
        <v>35</v>
      </c>
      <c r="C40" s="17">
        <v>652794</v>
      </c>
      <c r="D40" s="17">
        <v>113929</v>
      </c>
      <c r="E40" s="17">
        <v>47516</v>
      </c>
      <c r="F40" s="17">
        <v>69602</v>
      </c>
      <c r="G40" s="28">
        <f>SUM(C40:F40)</f>
        <v>883841</v>
      </c>
      <c r="H40" s="7"/>
      <c r="I40" s="7"/>
    </row>
    <row r="41" spans="2:9" x14ac:dyDescent="0.25">
      <c r="B41" s="14" t="s">
        <v>36</v>
      </c>
      <c r="C41" s="17">
        <f>5813347829/1000000</f>
        <v>5813.3478290000003</v>
      </c>
      <c r="D41" s="17">
        <v>1153.5411260000001</v>
      </c>
      <c r="E41" s="17">
        <v>522</v>
      </c>
      <c r="F41" s="17">
        <v>688.960825</v>
      </c>
      <c r="G41" s="11">
        <f>SUM(C41:F41)</f>
        <v>8177.8497800000005</v>
      </c>
      <c r="H41" s="7"/>
      <c r="I41" s="7"/>
    </row>
    <row r="42" spans="2:9" x14ac:dyDescent="0.25">
      <c r="B42" s="70"/>
      <c r="C42" s="70"/>
      <c r="D42" s="70"/>
      <c r="E42" s="70"/>
      <c r="F42" s="70"/>
      <c r="G42" s="70"/>
      <c r="H42" s="70"/>
      <c r="I42" s="7"/>
    </row>
    <row r="43" spans="2:9" x14ac:dyDescent="0.25">
      <c r="B43" s="69" t="s">
        <v>37</v>
      </c>
      <c r="C43" s="69"/>
      <c r="D43" s="69"/>
      <c r="E43" s="69"/>
      <c r="F43" s="69"/>
      <c r="G43" s="69"/>
      <c r="I43" s="7"/>
    </row>
    <row r="44" spans="2:9" x14ac:dyDescent="0.25">
      <c r="B44" s="14" t="s">
        <v>38</v>
      </c>
      <c r="C44">
        <v>2</v>
      </c>
      <c r="D44" s="28">
        <v>12</v>
      </c>
      <c r="E44" s="28">
        <v>2</v>
      </c>
      <c r="F44" s="28">
        <v>0</v>
      </c>
      <c r="G44" s="28">
        <f>SUM(C44:F44)</f>
        <v>16</v>
      </c>
      <c r="H44" s="7"/>
      <c r="I44" s="7"/>
    </row>
    <row r="45" spans="2:9" x14ac:dyDescent="0.25">
      <c r="B45" s="14" t="s">
        <v>39</v>
      </c>
      <c r="C45" s="28">
        <f>4757078/1000000</f>
        <v>4.7570779999999999</v>
      </c>
      <c r="D45" s="13">
        <v>0.118483</v>
      </c>
      <c r="E45" s="28">
        <v>8.0000000000000002E-3</v>
      </c>
      <c r="F45" s="28">
        <v>0</v>
      </c>
      <c r="G45" s="11">
        <f>SUM(C45:F45)</f>
        <v>4.8835610000000003</v>
      </c>
      <c r="H45" s="7"/>
      <c r="I45" s="7"/>
    </row>
    <row r="46" spans="2:9" x14ac:dyDescent="0.25">
      <c r="B46" s="70"/>
      <c r="C46" s="70"/>
      <c r="D46" s="70"/>
      <c r="E46" s="70"/>
      <c r="F46" s="70"/>
      <c r="G46" s="70"/>
      <c r="H46" s="70"/>
      <c r="I46" s="7"/>
    </row>
    <row r="47" spans="2:9" x14ac:dyDescent="0.25">
      <c r="B47" s="69" t="s">
        <v>40</v>
      </c>
      <c r="C47" s="69"/>
      <c r="D47" s="69"/>
      <c r="E47" s="69"/>
      <c r="F47" s="69"/>
      <c r="G47" s="69"/>
      <c r="I47" s="7"/>
    </row>
    <row r="48" spans="2:9" x14ac:dyDescent="0.25">
      <c r="B48" s="14" t="s">
        <v>41</v>
      </c>
      <c r="C48" s="17">
        <v>168558</v>
      </c>
      <c r="D48" s="17">
        <v>72147</v>
      </c>
      <c r="E48" s="17">
        <v>11556</v>
      </c>
      <c r="F48" s="17">
        <v>64450</v>
      </c>
      <c r="G48" s="28">
        <f>SUM(C48:F48)</f>
        <v>316711</v>
      </c>
      <c r="H48" s="7"/>
      <c r="I48" s="7"/>
    </row>
    <row r="49" spans="2:9" x14ac:dyDescent="0.25">
      <c r="B49" s="14" t="s">
        <v>42</v>
      </c>
      <c r="C49" s="17">
        <f>(80106632438+1587785017)/1000000</f>
        <v>81694.417455000003</v>
      </c>
      <c r="D49" s="17">
        <v>27274</v>
      </c>
      <c r="E49" s="17">
        <v>11173.530769999999</v>
      </c>
      <c r="F49" s="17">
        <v>12137.921396</v>
      </c>
      <c r="G49" s="11">
        <f>SUM(C49:F49)</f>
        <v>132279.86962099999</v>
      </c>
      <c r="H49" s="7"/>
      <c r="I49" s="7"/>
    </row>
    <row r="50" spans="2:9" x14ac:dyDescent="0.25">
      <c r="B50" s="70"/>
      <c r="C50" s="70"/>
      <c r="D50" s="70"/>
      <c r="E50" s="70"/>
      <c r="F50" s="70"/>
      <c r="G50" s="70"/>
      <c r="H50" s="70"/>
    </row>
    <row r="51" spans="2:9" ht="21" x14ac:dyDescent="0.35">
      <c r="B51" s="79" t="s">
        <v>43</v>
      </c>
      <c r="C51" s="80"/>
      <c r="D51" s="80"/>
      <c r="E51" s="80"/>
      <c r="F51" s="80"/>
      <c r="G51" s="81"/>
    </row>
    <row r="52" spans="2:9" x14ac:dyDescent="0.25">
      <c r="B52" s="89"/>
      <c r="C52" s="89"/>
      <c r="D52" s="89"/>
      <c r="E52" s="89"/>
      <c r="F52" s="89"/>
      <c r="G52" s="89"/>
      <c r="H52" s="89"/>
    </row>
    <row r="53" spans="2:9" x14ac:dyDescent="0.25">
      <c r="B53" s="69" t="s">
        <v>44</v>
      </c>
      <c r="C53" s="69"/>
      <c r="D53" s="69"/>
      <c r="E53" s="69"/>
      <c r="F53" s="69"/>
      <c r="G53" s="69"/>
    </row>
    <row r="54" spans="2:9" x14ac:dyDescent="0.25">
      <c r="B54" s="74" t="s">
        <v>45</v>
      </c>
      <c r="C54" s="74"/>
      <c r="D54" s="74"/>
      <c r="E54" s="74"/>
      <c r="F54" s="74"/>
      <c r="G54" s="74"/>
    </row>
    <row r="55" spans="2:9" x14ac:dyDescent="0.25">
      <c r="B55" s="14" t="s">
        <v>46</v>
      </c>
      <c r="C55" s="17">
        <v>88662</v>
      </c>
      <c r="D55" s="17">
        <v>4639</v>
      </c>
      <c r="E55" s="17">
        <v>1258</v>
      </c>
      <c r="F55" s="17">
        <v>4033</v>
      </c>
      <c r="G55" s="28">
        <f t="shared" ref="G55:G71" si="0">SUM(C55:F55)</f>
        <v>98592</v>
      </c>
    </row>
    <row r="56" spans="2:9" x14ac:dyDescent="0.25">
      <c r="B56" s="14" t="s">
        <v>47</v>
      </c>
      <c r="C56" s="17">
        <v>67811.563876999993</v>
      </c>
      <c r="D56" s="17">
        <v>5825.0928809999796</v>
      </c>
      <c r="E56" s="17">
        <v>2065</v>
      </c>
      <c r="F56" s="17">
        <v>10241</v>
      </c>
      <c r="G56" s="28">
        <f t="shared" si="0"/>
        <v>85942.656757999968</v>
      </c>
    </row>
    <row r="57" spans="2:9" x14ac:dyDescent="0.25">
      <c r="B57" s="14" t="s">
        <v>48</v>
      </c>
      <c r="C57" s="17">
        <v>14.8755498409691</v>
      </c>
      <c r="D57" s="17">
        <v>36</v>
      </c>
      <c r="E57" s="17">
        <v>22</v>
      </c>
      <c r="F57" s="17">
        <v>31</v>
      </c>
      <c r="G57" s="28">
        <f>AVERAGE(C57:F57)</f>
        <v>25.968887460242275</v>
      </c>
    </row>
    <row r="58" spans="2:9" x14ac:dyDescent="0.25">
      <c r="B58" s="14" t="s">
        <v>49</v>
      </c>
      <c r="C58" s="17">
        <v>757716</v>
      </c>
      <c r="D58" s="28">
        <v>140185</v>
      </c>
      <c r="E58" s="98">
        <v>50606</v>
      </c>
      <c r="F58" s="17">
        <v>74116</v>
      </c>
      <c r="G58" s="28">
        <f t="shared" si="0"/>
        <v>1022623</v>
      </c>
    </row>
    <row r="59" spans="2:9" x14ac:dyDescent="0.25">
      <c r="B59" s="14" t="s">
        <v>50</v>
      </c>
      <c r="C59" s="17">
        <v>1750068.9766559999</v>
      </c>
      <c r="D59" s="28">
        <v>262442.43171400001</v>
      </c>
      <c r="E59" s="98">
        <v>109903.940631</v>
      </c>
      <c r="F59" s="17">
        <v>164140</v>
      </c>
      <c r="G59" s="11">
        <f t="shared" si="0"/>
        <v>2286555.3490009997</v>
      </c>
    </row>
    <row r="60" spans="2:9" x14ac:dyDescent="0.25">
      <c r="B60" s="74" t="s">
        <v>51</v>
      </c>
      <c r="C60" s="74"/>
      <c r="D60" s="74"/>
      <c r="E60" s="74"/>
      <c r="F60" s="74"/>
      <c r="G60" s="74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4" t="s">
        <v>52</v>
      </c>
      <c r="C66" s="74"/>
      <c r="D66" s="74"/>
      <c r="E66" s="74"/>
      <c r="F66" s="74"/>
      <c r="G66" s="74"/>
    </row>
    <row r="67" spans="2:8" x14ac:dyDescent="0.25">
      <c r="B67" s="14" t="s">
        <v>46</v>
      </c>
      <c r="C67" s="17">
        <v>6322</v>
      </c>
      <c r="D67" s="17">
        <v>1362</v>
      </c>
      <c r="E67" s="17">
        <v>1404</v>
      </c>
      <c r="F67" s="17">
        <v>9586</v>
      </c>
      <c r="G67" s="28">
        <f t="shared" si="0"/>
        <v>18674</v>
      </c>
    </row>
    <row r="68" spans="2:8" x14ac:dyDescent="0.25">
      <c r="B68" s="14" t="s">
        <v>47</v>
      </c>
      <c r="C68" s="17">
        <v>5150.8763859999999</v>
      </c>
      <c r="D68" s="17">
        <v>1431.2281009999999</v>
      </c>
      <c r="E68" s="17">
        <v>1360</v>
      </c>
      <c r="F68" s="17">
        <v>11315</v>
      </c>
      <c r="G68" s="28">
        <f t="shared" si="0"/>
        <v>19257.104487000001</v>
      </c>
    </row>
    <row r="69" spans="2:8" x14ac:dyDescent="0.25">
      <c r="B69" s="14" t="s">
        <v>48</v>
      </c>
      <c r="C69" s="17">
        <v>39.298797848782002</v>
      </c>
      <c r="D69" s="17">
        <v>55</v>
      </c>
      <c r="E69" s="17">
        <v>48</v>
      </c>
      <c r="F69" s="17">
        <v>38</v>
      </c>
      <c r="G69" s="28">
        <f>AVERAGE(C69:F69)</f>
        <v>45.074699462195497</v>
      </c>
    </row>
    <row r="70" spans="2:8" x14ac:dyDescent="0.25">
      <c r="B70" s="14" t="s">
        <v>49</v>
      </c>
      <c r="C70" s="17">
        <v>130577</v>
      </c>
      <c r="D70" s="28">
        <v>86433</v>
      </c>
      <c r="E70" s="17">
        <v>57867</v>
      </c>
      <c r="F70" s="17">
        <v>260094</v>
      </c>
      <c r="G70" s="28">
        <f t="shared" si="0"/>
        <v>534971</v>
      </c>
    </row>
    <row r="71" spans="2:8" x14ac:dyDescent="0.25">
      <c r="B71" s="14" t="s">
        <v>50</v>
      </c>
      <c r="C71" s="17">
        <v>131480.61480099999</v>
      </c>
      <c r="D71" s="28">
        <v>98411.890283999994</v>
      </c>
      <c r="E71" s="17">
        <v>59815.470641</v>
      </c>
      <c r="F71" s="17">
        <v>232673</v>
      </c>
      <c r="G71" s="11">
        <f t="shared" si="0"/>
        <v>522380.97572599998</v>
      </c>
    </row>
    <row r="72" spans="2:8" x14ac:dyDescent="0.25">
      <c r="B72" s="83" t="s">
        <v>53</v>
      </c>
      <c r="C72" s="84"/>
      <c r="D72" s="84"/>
      <c r="E72" s="84"/>
      <c r="F72" s="84"/>
      <c r="G72" s="85"/>
    </row>
    <row r="73" spans="2:8" x14ac:dyDescent="0.25">
      <c r="B73" s="18" t="s">
        <v>54</v>
      </c>
      <c r="C73" s="19">
        <f>+C55+C67</f>
        <v>94984</v>
      </c>
      <c r="D73" s="19">
        <v>6001</v>
      </c>
      <c r="E73" s="19">
        <v>2662</v>
      </c>
      <c r="F73" s="19">
        <v>13619</v>
      </c>
      <c r="G73" s="19">
        <f>SUM(C73:F73)</f>
        <v>117266</v>
      </c>
    </row>
    <row r="74" spans="2:8" x14ac:dyDescent="0.25">
      <c r="B74" s="18" t="s">
        <v>47</v>
      </c>
      <c r="C74" s="19">
        <f>+C56+C68</f>
        <v>72962.440262999997</v>
      </c>
      <c r="D74" s="19">
        <v>7256.3209819999793</v>
      </c>
      <c r="E74" s="19">
        <v>3425</v>
      </c>
      <c r="F74" s="19">
        <v>21556</v>
      </c>
      <c r="G74" s="22">
        <f>SUM(C74:F74)</f>
        <v>105199.76124499997</v>
      </c>
    </row>
    <row r="75" spans="2:8" x14ac:dyDescent="0.25">
      <c r="B75" s="18" t="s">
        <v>48</v>
      </c>
      <c r="C75" s="19">
        <v>16.501126505516702</v>
      </c>
      <c r="D75" s="19">
        <v>30.333333333333332</v>
      </c>
      <c r="E75" s="19">
        <v>70</v>
      </c>
      <c r="F75" s="19">
        <v>34.5</v>
      </c>
      <c r="G75" s="19">
        <f>AVERAGE(C75:F75)</f>
        <v>37.833614959712506</v>
      </c>
    </row>
    <row r="76" spans="2:8" x14ac:dyDescent="0.25">
      <c r="B76" s="18" t="s">
        <v>49</v>
      </c>
      <c r="C76" s="19">
        <f>+C58+C70</f>
        <v>888293</v>
      </c>
      <c r="D76" s="19">
        <v>226618</v>
      </c>
      <c r="E76" s="19">
        <v>108473</v>
      </c>
      <c r="F76" s="19">
        <v>334210</v>
      </c>
      <c r="G76" s="19">
        <f>SUM(C76:F76)</f>
        <v>1557594</v>
      </c>
    </row>
    <row r="77" spans="2:8" x14ac:dyDescent="0.25">
      <c r="B77" s="18" t="s">
        <v>50</v>
      </c>
      <c r="C77" s="19">
        <f>+C59+C71</f>
        <v>1881549.591457</v>
      </c>
      <c r="D77" s="19">
        <v>360854.32199800003</v>
      </c>
      <c r="E77" s="19">
        <v>169719.411272</v>
      </c>
      <c r="F77" s="19">
        <v>396813</v>
      </c>
      <c r="G77" s="22">
        <f>SUM(C77:F77)</f>
        <v>2808936.3247270002</v>
      </c>
    </row>
    <row r="78" spans="2:8" x14ac:dyDescent="0.25">
      <c r="B78" s="70"/>
      <c r="C78" s="70"/>
      <c r="D78" s="70"/>
      <c r="E78" s="70"/>
      <c r="F78" s="70"/>
      <c r="G78" s="70"/>
      <c r="H78" s="70"/>
    </row>
    <row r="79" spans="2:8" x14ac:dyDescent="0.25">
      <c r="B79" s="75" t="s">
        <v>55</v>
      </c>
      <c r="C79" s="76"/>
      <c r="D79" s="76"/>
      <c r="E79" s="76"/>
      <c r="F79" s="76"/>
      <c r="G79" s="77"/>
    </row>
    <row r="80" spans="2:8" x14ac:dyDescent="0.25">
      <c r="B80" s="71" t="s">
        <v>45</v>
      </c>
      <c r="C80" s="72"/>
      <c r="D80" s="72"/>
      <c r="E80" s="72"/>
      <c r="F80" s="72"/>
      <c r="G80" s="73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1020</v>
      </c>
      <c r="D84" s="24">
        <v>117</v>
      </c>
      <c r="E84" s="24">
        <v>6</v>
      </c>
      <c r="F84" s="24">
        <v>96</v>
      </c>
      <c r="G84" s="24">
        <f>SUM(C84:F84)</f>
        <v>1239</v>
      </c>
    </row>
    <row r="85" spans="2:7" x14ac:dyDescent="0.25">
      <c r="B85" s="14" t="s">
        <v>50</v>
      </c>
      <c r="C85" s="24">
        <v>22037.223942000001</v>
      </c>
      <c r="D85" s="24">
        <v>1487</v>
      </c>
      <c r="E85" s="24">
        <v>78</v>
      </c>
      <c r="F85" s="28">
        <v>1750.449621</v>
      </c>
      <c r="G85" s="11">
        <f>SUM(C85:F85)</f>
        <v>25352.673563</v>
      </c>
    </row>
    <row r="86" spans="2:7" x14ac:dyDescent="0.25">
      <c r="B86" s="71" t="s">
        <v>51</v>
      </c>
      <c r="C86" s="72"/>
      <c r="D86" s="72"/>
      <c r="E86" s="72"/>
      <c r="F86" s="72"/>
      <c r="G86" s="73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1" t="s">
        <v>52</v>
      </c>
      <c r="C92" s="72"/>
      <c r="D92" s="72"/>
      <c r="E92" s="72"/>
      <c r="F92" s="72"/>
      <c r="G92" s="73"/>
    </row>
    <row r="93" spans="2:7" x14ac:dyDescent="0.25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59">
        <v>11</v>
      </c>
      <c r="D96" s="20">
        <v>0</v>
      </c>
      <c r="E96" s="20">
        <v>0</v>
      </c>
      <c r="F96" s="24">
        <v>7</v>
      </c>
      <c r="G96" s="28">
        <f>SUM(C96:F96)</f>
        <v>18</v>
      </c>
    </row>
    <row r="97" spans="2:8" x14ac:dyDescent="0.25">
      <c r="B97" s="14" t="s">
        <v>50</v>
      </c>
      <c r="C97" s="24">
        <v>187.090408</v>
      </c>
      <c r="D97" s="20">
        <v>0</v>
      </c>
      <c r="E97" s="20">
        <v>0</v>
      </c>
      <c r="F97" s="24">
        <v>85.608804000000006</v>
      </c>
      <c r="G97" s="11">
        <f>SUM(C97:F97)</f>
        <v>272.69921199999999</v>
      </c>
    </row>
    <row r="98" spans="2:8" x14ac:dyDescent="0.25">
      <c r="B98" s="83" t="s">
        <v>56</v>
      </c>
      <c r="C98" s="84"/>
      <c r="D98" s="84"/>
      <c r="E98" s="84"/>
      <c r="F98" s="84"/>
      <c r="G98" s="85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1031</v>
      </c>
      <c r="D102" s="45">
        <v>117</v>
      </c>
      <c r="E102" s="45">
        <f>+E84</f>
        <v>6</v>
      </c>
      <c r="F102" s="47">
        <f>+F96+F84</f>
        <v>103</v>
      </c>
      <c r="G102" s="19">
        <f>SUM(C102:F102)</f>
        <v>1257</v>
      </c>
    </row>
    <row r="103" spans="2:8" x14ac:dyDescent="0.25">
      <c r="B103" s="18" t="s">
        <v>50</v>
      </c>
      <c r="C103" s="45">
        <f>+C97+C85</f>
        <v>22224.314350000001</v>
      </c>
      <c r="D103" s="45">
        <v>1487</v>
      </c>
      <c r="E103" s="45">
        <f>+E85</f>
        <v>78</v>
      </c>
      <c r="F103" s="45">
        <f>+F85+F97</f>
        <v>1836.0584249999999</v>
      </c>
      <c r="G103" s="22">
        <f>SUM(C103:F103)</f>
        <v>25625.372775</v>
      </c>
    </row>
    <row r="104" spans="2:8" x14ac:dyDescent="0.25">
      <c r="B104" s="70"/>
      <c r="C104" s="70"/>
      <c r="D104" s="70"/>
      <c r="E104" s="70"/>
      <c r="F104" s="70"/>
      <c r="G104" s="70"/>
      <c r="H104" s="70"/>
    </row>
    <row r="105" spans="2:8" x14ac:dyDescent="0.25">
      <c r="B105" s="69" t="s">
        <v>57</v>
      </c>
      <c r="C105" s="69"/>
      <c r="D105" s="69"/>
      <c r="E105" s="69"/>
      <c r="F105" s="69"/>
      <c r="G105" s="69"/>
    </row>
    <row r="106" spans="2:8" x14ac:dyDescent="0.25">
      <c r="B106" s="74" t="s">
        <v>58</v>
      </c>
      <c r="C106" s="74"/>
      <c r="D106" s="74"/>
      <c r="E106" s="74"/>
      <c r="F106" s="74"/>
      <c r="G106" s="74"/>
    </row>
    <row r="107" spans="2:8" x14ac:dyDescent="0.25">
      <c r="B107" s="14" t="s">
        <v>59</v>
      </c>
      <c r="C107" s="13">
        <v>2.8683103911265673</v>
      </c>
      <c r="D107" s="13">
        <v>2.4476688867744887</v>
      </c>
      <c r="E107" s="14">
        <v>2.92</v>
      </c>
      <c r="F107" s="13">
        <v>2.54</v>
      </c>
      <c r="G107" s="13">
        <f>AVERAGE(C107:F107)</f>
        <v>2.6939948194752636</v>
      </c>
    </row>
    <row r="108" spans="2:8" x14ac:dyDescent="0.25">
      <c r="B108" s="14" t="s">
        <v>60</v>
      </c>
      <c r="C108" s="13">
        <v>2.6974391036048</v>
      </c>
      <c r="D108" s="13">
        <v>2.4500000000000308</v>
      </c>
      <c r="E108" s="14">
        <v>2.91</v>
      </c>
      <c r="F108" s="13">
        <v>2.66</v>
      </c>
      <c r="G108" s="13">
        <f>AVERAGE(C108:F108)</f>
        <v>2.679359775901208</v>
      </c>
    </row>
    <row r="109" spans="2:8" x14ac:dyDescent="0.25">
      <c r="B109" s="14" t="s">
        <v>61</v>
      </c>
      <c r="C109" s="13">
        <v>2.5574777609025063</v>
      </c>
      <c r="D109" s="13">
        <v>2.6102118003025523</v>
      </c>
      <c r="E109" s="14">
        <v>2.81</v>
      </c>
      <c r="F109" s="13">
        <v>2.69</v>
      </c>
      <c r="G109" s="13">
        <f>AVERAGE(C109:F109)</f>
        <v>2.6669223903012647</v>
      </c>
    </row>
    <row r="110" spans="2:8" x14ac:dyDescent="0.25">
      <c r="B110" s="74" t="s">
        <v>62</v>
      </c>
      <c r="C110" s="74"/>
      <c r="D110" s="74"/>
      <c r="E110" s="74"/>
      <c r="F110" s="74"/>
      <c r="G110" s="74"/>
    </row>
    <row r="111" spans="2:8" x14ac:dyDescent="0.25">
      <c r="B111" s="14" t="s">
        <v>59</v>
      </c>
      <c r="C111" s="13">
        <v>2.3199999999999998</v>
      </c>
      <c r="D111" s="13">
        <v>1.5999999999999999</v>
      </c>
      <c r="E111" s="14">
        <v>1.99</v>
      </c>
      <c r="F111" s="14">
        <v>1.99</v>
      </c>
      <c r="G111" s="13">
        <f>AVERAGE(C111:F111)</f>
        <v>1.9750000000000001</v>
      </c>
    </row>
    <row r="112" spans="2:8" x14ac:dyDescent="0.25">
      <c r="B112" s="14" t="s">
        <v>60</v>
      </c>
      <c r="C112" s="13">
        <v>2.1500000000000039</v>
      </c>
      <c r="D112" s="13">
        <v>2.1599999999999993</v>
      </c>
      <c r="E112" s="14">
        <v>2.2000000000000002</v>
      </c>
      <c r="F112" s="13">
        <v>2.1599999999999993</v>
      </c>
      <c r="G112" s="13">
        <f>AVERAGE(C112:F112)</f>
        <v>2.1675000000000004</v>
      </c>
    </row>
    <row r="113" spans="2:9" x14ac:dyDescent="0.25">
      <c r="B113" s="14" t="s">
        <v>61</v>
      </c>
      <c r="C113" s="13">
        <v>2.1477455919395592</v>
      </c>
      <c r="D113" s="13">
        <v>2.1600000000000028</v>
      </c>
      <c r="E113" s="14">
        <v>2.2999999999999998</v>
      </c>
      <c r="F113" s="13">
        <v>2.19</v>
      </c>
      <c r="G113" s="13">
        <f>AVERAGE(C113:F113)</f>
        <v>2.1994363979848903</v>
      </c>
    </row>
    <row r="114" spans="2:9" x14ac:dyDescent="0.25">
      <c r="B114" s="70"/>
      <c r="C114" s="70"/>
      <c r="D114" s="70"/>
      <c r="E114" s="70"/>
      <c r="F114" s="70"/>
      <c r="G114" s="70"/>
      <c r="H114" s="70"/>
      <c r="I114" s="70"/>
    </row>
    <row r="115" spans="2:9" x14ac:dyDescent="0.25">
      <c r="B115" s="74" t="s">
        <v>63</v>
      </c>
      <c r="C115" s="74"/>
      <c r="D115" s="74"/>
      <c r="E115" s="74"/>
      <c r="F115" s="74"/>
      <c r="G115" s="74"/>
    </row>
    <row r="116" spans="2:9" x14ac:dyDescent="0.25">
      <c r="B116" s="14" t="s">
        <v>59</v>
      </c>
      <c r="C116" s="13">
        <v>1.49765320334261</v>
      </c>
      <c r="D116" s="13">
        <v>1.7900000000000023</v>
      </c>
      <c r="E116" s="20">
        <v>2.0699999999999998</v>
      </c>
      <c r="F116" s="13">
        <v>1.84</v>
      </c>
      <c r="G116" s="13">
        <f>AVERAGE(C116:F116)</f>
        <v>1.799413300835653</v>
      </c>
    </row>
    <row r="117" spans="2:9" x14ac:dyDescent="0.25">
      <c r="B117" s="14" t="s">
        <v>60</v>
      </c>
      <c r="C117" s="13">
        <v>1.7572835426305755</v>
      </c>
      <c r="D117" s="13">
        <v>1.7824472573839727</v>
      </c>
      <c r="E117" s="20">
        <v>2.0499999999999998</v>
      </c>
      <c r="F117" s="13">
        <v>1.84</v>
      </c>
      <c r="G117" s="13">
        <f>AVERAGE(C117:F117)</f>
        <v>1.857432700003637</v>
      </c>
    </row>
    <row r="118" spans="2:9" x14ac:dyDescent="0.25">
      <c r="B118" s="14" t="s">
        <v>61</v>
      </c>
      <c r="C118" s="13">
        <v>1.7555527363184482</v>
      </c>
      <c r="D118" s="13">
        <v>1.7886434255399462</v>
      </c>
      <c r="E118" s="20">
        <v>2.2799999999999998</v>
      </c>
      <c r="F118" s="20">
        <v>2.04</v>
      </c>
      <c r="G118" s="13">
        <f>AVERAGE(C118:F118)</f>
        <v>1.9660490404645985</v>
      </c>
    </row>
    <row r="119" spans="2:9" x14ac:dyDescent="0.25">
      <c r="B119" s="71" t="s">
        <v>64</v>
      </c>
      <c r="C119" s="72"/>
      <c r="D119" s="72"/>
      <c r="E119" s="72"/>
      <c r="F119" s="72"/>
      <c r="G119" s="73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4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1.9</v>
      </c>
      <c r="F122" s="13">
        <v>1.74</v>
      </c>
      <c r="G122" s="13">
        <f>AVERAGE(C122:F122)</f>
        <v>1.625</v>
      </c>
    </row>
    <row r="123" spans="2:9" x14ac:dyDescent="0.25">
      <c r="B123" s="70"/>
      <c r="C123" s="70"/>
      <c r="D123" s="70"/>
      <c r="E123" s="70"/>
      <c r="F123" s="70"/>
      <c r="G123" s="70"/>
      <c r="H123" s="70"/>
    </row>
    <row r="124" spans="2:9" x14ac:dyDescent="0.25">
      <c r="B124" s="75" t="s">
        <v>65</v>
      </c>
      <c r="C124" s="76"/>
      <c r="D124" s="76"/>
      <c r="E124" s="76"/>
      <c r="F124" s="76"/>
      <c r="G124" s="77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5" t="s">
        <v>67</v>
      </c>
      <c r="C126" s="76"/>
      <c r="D126" s="76"/>
      <c r="E126" s="76"/>
      <c r="F126" s="76"/>
      <c r="G126" s="77"/>
    </row>
    <row r="127" spans="2:9" x14ac:dyDescent="0.25">
      <c r="B127" s="3" t="s">
        <v>68</v>
      </c>
      <c r="C127" s="13">
        <v>1.75</v>
      </c>
      <c r="D127" s="39">
        <v>2.0498880000000002</v>
      </c>
      <c r="E127" s="34">
        <v>2.1873186191622538</v>
      </c>
      <c r="F127" s="4">
        <v>0</v>
      </c>
      <c r="G127" s="11">
        <f>AVERAGE(C127:E127)</f>
        <v>1.9957355397207515</v>
      </c>
    </row>
    <row r="128" spans="2:9" x14ac:dyDescent="0.25">
      <c r="B128" s="82"/>
      <c r="C128" s="82"/>
      <c r="D128" s="82"/>
      <c r="E128" s="82"/>
      <c r="F128" s="82"/>
      <c r="G128" s="82"/>
      <c r="H128" s="82"/>
    </row>
    <row r="129" spans="2:9" x14ac:dyDescent="0.25">
      <c r="B129" s="69" t="s">
        <v>69</v>
      </c>
      <c r="C129" s="69"/>
      <c r="D129" s="69"/>
      <c r="E129" s="69"/>
      <c r="F129" s="69"/>
      <c r="G129" s="69"/>
    </row>
    <row r="130" spans="2:9" x14ac:dyDescent="0.25">
      <c r="B130" s="14" t="s">
        <v>70</v>
      </c>
      <c r="C130" s="28">
        <v>240352</v>
      </c>
      <c r="D130" s="28">
        <v>3448</v>
      </c>
      <c r="E130" s="28">
        <v>8552</v>
      </c>
      <c r="F130" s="28">
        <v>794</v>
      </c>
      <c r="G130" s="28">
        <f>SUM(C130:F130)</f>
        <v>253146</v>
      </c>
    </row>
    <row r="131" spans="2:9" x14ac:dyDescent="0.25">
      <c r="B131" s="14" t="s">
        <v>71</v>
      </c>
      <c r="C131" s="28">
        <v>161212.77769799999</v>
      </c>
      <c r="D131" s="28">
        <v>3862</v>
      </c>
      <c r="E131" s="28">
        <v>1059</v>
      </c>
      <c r="F131" s="28">
        <v>756.40204400000005</v>
      </c>
      <c r="G131" s="11">
        <f>SUM(C131:F131)</f>
        <v>166890.17974199998</v>
      </c>
    </row>
    <row r="132" spans="2:9" x14ac:dyDescent="0.25">
      <c r="B132" s="70"/>
      <c r="C132" s="70"/>
      <c r="D132" s="70"/>
      <c r="E132" s="70"/>
      <c r="F132" s="70"/>
      <c r="G132" s="70"/>
      <c r="H132" s="70"/>
    </row>
    <row r="133" spans="2:9" x14ac:dyDescent="0.25">
      <c r="B133" s="69" t="s">
        <v>72</v>
      </c>
      <c r="C133" s="69"/>
      <c r="D133" s="69"/>
      <c r="E133" s="69"/>
      <c r="F133" s="69"/>
      <c r="G133" s="69"/>
    </row>
    <row r="134" spans="2:9" x14ac:dyDescent="0.25">
      <c r="B134" s="14" t="s">
        <v>73</v>
      </c>
      <c r="C134" s="28">
        <v>763158</v>
      </c>
      <c r="D134" s="28">
        <v>363372</v>
      </c>
      <c r="E134" s="28">
        <v>127479</v>
      </c>
      <c r="F134" s="28">
        <v>290470</v>
      </c>
      <c r="G134" s="28">
        <f>SUM(C134:F134)</f>
        <v>1544479</v>
      </c>
    </row>
    <row r="135" spans="2:9" x14ac:dyDescent="0.25">
      <c r="B135" s="70"/>
      <c r="C135" s="70"/>
      <c r="D135" s="70"/>
      <c r="E135" s="70"/>
      <c r="F135" s="70"/>
      <c r="G135" s="70"/>
      <c r="H135" s="70"/>
    </row>
    <row r="136" spans="2:9" ht="21" x14ac:dyDescent="0.35">
      <c r="B136" s="78" t="s">
        <v>74</v>
      </c>
      <c r="C136" s="78"/>
      <c r="D136" s="78"/>
      <c r="E136" s="78"/>
      <c r="F136" s="78"/>
      <c r="G136" s="78"/>
    </row>
    <row r="137" spans="2:9" x14ac:dyDescent="0.25">
      <c r="B137" s="69" t="s">
        <v>75</v>
      </c>
      <c r="C137" s="69"/>
      <c r="D137" s="69"/>
      <c r="E137" s="69"/>
      <c r="F137" s="69"/>
      <c r="G137" s="69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15367</v>
      </c>
      <c r="G138" s="28">
        <f>SUM(C138:F138)</f>
        <v>15367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210</v>
      </c>
      <c r="G139" s="28">
        <f>SUM(C139:F139)</f>
        <v>210</v>
      </c>
      <c r="H139" s="7"/>
      <c r="I139" s="7"/>
    </row>
    <row r="140" spans="2:9" x14ac:dyDescent="0.25">
      <c r="B140" s="70"/>
      <c r="C140" s="70"/>
      <c r="D140" s="70"/>
      <c r="E140" s="70"/>
      <c r="F140" s="70"/>
      <c r="G140" s="70"/>
      <c r="H140" s="70"/>
      <c r="I140" s="7"/>
    </row>
    <row r="141" spans="2:9" x14ac:dyDescent="0.25">
      <c r="B141" s="70"/>
      <c r="C141" s="70"/>
      <c r="D141" s="70"/>
      <c r="E141" s="70"/>
      <c r="F141" s="70"/>
      <c r="G141" s="70"/>
      <c r="H141" s="70"/>
    </row>
    <row r="142" spans="2:9" ht="21" x14ac:dyDescent="0.35">
      <c r="B142" s="79" t="s">
        <v>78</v>
      </c>
      <c r="C142" s="80"/>
      <c r="D142" s="80"/>
      <c r="E142" s="80"/>
      <c r="F142" s="80"/>
      <c r="G142" s="81"/>
    </row>
    <row r="143" spans="2:9" x14ac:dyDescent="0.25">
      <c r="B143" s="75" t="s">
        <v>79</v>
      </c>
      <c r="C143" s="76"/>
      <c r="D143" s="76"/>
      <c r="E143" s="76"/>
      <c r="F143" s="76"/>
      <c r="G143" s="77"/>
    </row>
    <row r="144" spans="2:9" x14ac:dyDescent="0.25">
      <c r="B144" s="70"/>
      <c r="C144" s="70"/>
      <c r="D144" s="70"/>
      <c r="E144" s="70"/>
      <c r="F144" s="70"/>
      <c r="G144" s="70"/>
      <c r="H144" s="70"/>
    </row>
    <row r="145" spans="2:8" x14ac:dyDescent="0.25">
      <c r="B145" s="74" t="s">
        <v>80</v>
      </c>
      <c r="C145" s="74"/>
      <c r="D145" s="74"/>
      <c r="E145" s="74"/>
      <c r="F145" s="74"/>
      <c r="G145" s="74"/>
    </row>
    <row r="146" spans="2:8" x14ac:dyDescent="0.25">
      <c r="B146" s="14" t="s">
        <v>81</v>
      </c>
      <c r="C146" s="28">
        <v>0</v>
      </c>
      <c r="D146" s="28">
        <v>1142</v>
      </c>
      <c r="E146" s="28">
        <v>0</v>
      </c>
      <c r="F146" s="28">
        <v>5116</v>
      </c>
      <c r="G146" s="28">
        <f>SUM(C146:F146)</f>
        <v>6258</v>
      </c>
    </row>
    <row r="147" spans="2:8" x14ac:dyDescent="0.25">
      <c r="B147" s="14" t="s">
        <v>82</v>
      </c>
      <c r="C147" s="28">
        <v>0</v>
      </c>
      <c r="D147" s="28">
        <v>25.821999999999999</v>
      </c>
      <c r="E147" s="28">
        <v>0</v>
      </c>
      <c r="F147" s="28">
        <v>114.19425</v>
      </c>
      <c r="G147" s="11">
        <f>SUM(C147:F147)</f>
        <v>140.01624999999999</v>
      </c>
    </row>
    <row r="148" spans="2:8" x14ac:dyDescent="0.25">
      <c r="B148" s="70"/>
      <c r="C148" s="70"/>
      <c r="D148" s="70"/>
      <c r="E148" s="70"/>
      <c r="F148" s="70"/>
      <c r="G148" s="70"/>
      <c r="H148" s="70"/>
    </row>
    <row r="149" spans="2:8" x14ac:dyDescent="0.25">
      <c r="B149" s="74" t="s">
        <v>83</v>
      </c>
      <c r="C149" s="74"/>
      <c r="D149" s="74"/>
      <c r="E149" s="74"/>
      <c r="F149" s="74"/>
      <c r="G149" s="74"/>
    </row>
    <row r="150" spans="2:8" x14ac:dyDescent="0.25">
      <c r="B150" s="14" t="s">
        <v>84</v>
      </c>
      <c r="C150" s="28">
        <v>0</v>
      </c>
      <c r="D150" s="37">
        <v>11565</v>
      </c>
      <c r="E150" s="28">
        <v>0</v>
      </c>
      <c r="F150" s="28">
        <v>0</v>
      </c>
      <c r="G150" s="28">
        <f>SUM(C150:F150)</f>
        <v>11565</v>
      </c>
      <c r="H150"/>
    </row>
    <row r="151" spans="2:8" x14ac:dyDescent="0.25">
      <c r="B151" s="14" t="s">
        <v>85</v>
      </c>
      <c r="C151" s="28">
        <v>0</v>
      </c>
      <c r="D151" s="37">
        <v>440.95</v>
      </c>
      <c r="E151" s="28">
        <v>0</v>
      </c>
      <c r="F151" s="28">
        <v>0</v>
      </c>
      <c r="G151" s="11">
        <f>SUM(C151:F151)</f>
        <v>440.95</v>
      </c>
      <c r="H151"/>
    </row>
    <row r="152" spans="2:8" x14ac:dyDescent="0.25">
      <c r="B152" s="70"/>
      <c r="C152" s="70"/>
      <c r="D152" s="70"/>
      <c r="E152" s="70"/>
      <c r="F152" s="70"/>
      <c r="G152" s="70"/>
      <c r="H152" s="70"/>
    </row>
    <row r="153" spans="2:8" x14ac:dyDescent="0.25">
      <c r="B153" s="74" t="s">
        <v>86</v>
      </c>
      <c r="C153" s="74"/>
      <c r="D153" s="74"/>
      <c r="E153" s="74"/>
      <c r="F153" s="74"/>
      <c r="G153" s="74"/>
    </row>
    <row r="154" spans="2:8" x14ac:dyDescent="0.25">
      <c r="B154" s="14" t="s">
        <v>87</v>
      </c>
      <c r="C154" s="14">
        <v>0</v>
      </c>
      <c r="D154" s="28">
        <v>92</v>
      </c>
      <c r="E154" s="36">
        <v>0</v>
      </c>
      <c r="F154" s="35">
        <v>0</v>
      </c>
      <c r="G154" s="28">
        <f>SUM(C154:F154)</f>
        <v>92</v>
      </c>
      <c r="H154"/>
    </row>
    <row r="155" spans="2:8" x14ac:dyDescent="0.25">
      <c r="B155" s="14" t="s">
        <v>88</v>
      </c>
      <c r="C155" s="11">
        <v>0</v>
      </c>
      <c r="D155" s="11">
        <v>1.42</v>
      </c>
      <c r="E155" s="36">
        <v>0</v>
      </c>
      <c r="F155" s="35">
        <v>0</v>
      </c>
      <c r="G155" s="11">
        <f>SUM(C155:F155)</f>
        <v>1.42</v>
      </c>
      <c r="H155"/>
    </row>
    <row r="156" spans="2:8" x14ac:dyDescent="0.25">
      <c r="B156" s="70"/>
      <c r="C156" s="70"/>
      <c r="D156" s="70"/>
      <c r="E156" s="70"/>
      <c r="F156" s="70"/>
      <c r="G156" s="70"/>
      <c r="H156" s="70"/>
    </row>
    <row r="157" spans="2:8" x14ac:dyDescent="0.25">
      <c r="B157" s="71" t="s">
        <v>89</v>
      </c>
      <c r="C157" s="72"/>
      <c r="D157" s="72"/>
      <c r="E157" s="72"/>
      <c r="F157" s="72"/>
      <c r="G157" s="73"/>
    </row>
    <row r="158" spans="2:8" x14ac:dyDescent="0.25">
      <c r="B158" s="18" t="s">
        <v>90</v>
      </c>
      <c r="C158" s="19">
        <v>0</v>
      </c>
      <c r="D158" s="46">
        <v>12799</v>
      </c>
      <c r="E158" s="19">
        <v>0</v>
      </c>
      <c r="F158" s="19">
        <f>F146+F154</f>
        <v>5116</v>
      </c>
      <c r="G158" s="19">
        <f>SUM(C158:F158)</f>
        <v>17915</v>
      </c>
    </row>
    <row r="159" spans="2:8" x14ac:dyDescent="0.25">
      <c r="B159" s="18" t="s">
        <v>91</v>
      </c>
      <c r="C159" s="19">
        <v>0</v>
      </c>
      <c r="D159" s="46">
        <v>468.19200000000001</v>
      </c>
      <c r="E159" s="19">
        <v>0</v>
      </c>
      <c r="F159" s="19">
        <f>F147+F155</f>
        <v>114.19425</v>
      </c>
      <c r="G159" s="22">
        <f>SUM(C159:F159)</f>
        <v>582.38625000000002</v>
      </c>
    </row>
    <row r="160" spans="2:8" x14ac:dyDescent="0.25">
      <c r="B160" s="70"/>
      <c r="C160" s="70"/>
      <c r="D160" s="70"/>
      <c r="E160" s="70"/>
      <c r="F160" s="70"/>
      <c r="G160" s="70"/>
      <c r="H160" s="70"/>
    </row>
    <row r="161" spans="2:8" x14ac:dyDescent="0.25">
      <c r="B161" s="69" t="s">
        <v>92</v>
      </c>
      <c r="C161" s="69"/>
      <c r="D161" s="69"/>
      <c r="E161" s="69"/>
      <c r="F161" s="69"/>
      <c r="G161" s="69"/>
    </row>
    <row r="162" spans="2:8" x14ac:dyDescent="0.25">
      <c r="B162" s="14" t="s">
        <v>87</v>
      </c>
      <c r="C162" s="28">
        <v>3284</v>
      </c>
      <c r="D162" s="28">
        <v>31693</v>
      </c>
      <c r="E162" s="28">
        <v>4227</v>
      </c>
      <c r="F162" s="28">
        <v>22811</v>
      </c>
      <c r="G162" s="28">
        <f>SUM(C162:F162)</f>
        <v>62015</v>
      </c>
    </row>
    <row r="163" spans="2:8" x14ac:dyDescent="0.25">
      <c r="B163" s="14" t="s">
        <v>88</v>
      </c>
      <c r="C163" s="28">
        <f>74999827/1000000</f>
        <v>74.999826999999996</v>
      </c>
      <c r="D163" s="28">
        <v>201.19476699999998</v>
      </c>
      <c r="E163" s="28">
        <v>71</v>
      </c>
      <c r="F163" s="28">
        <v>147.973907</v>
      </c>
      <c r="G163" s="11">
        <f>SUM(C163:F163)</f>
        <v>495.16850099999999</v>
      </c>
    </row>
    <row r="164" spans="2:8" x14ac:dyDescent="0.25">
      <c r="B164" s="70"/>
      <c r="C164" s="70"/>
      <c r="D164" s="70"/>
      <c r="E164" s="70"/>
      <c r="F164" s="70"/>
      <c r="G164" s="70"/>
    </row>
    <row r="165" spans="2:8" x14ac:dyDescent="0.25">
      <c r="B165" s="75" t="s">
        <v>93</v>
      </c>
      <c r="C165" s="76"/>
      <c r="D165" s="76"/>
      <c r="E165" s="76"/>
      <c r="F165" s="76"/>
      <c r="G165" s="77"/>
    </row>
    <row r="166" spans="2:8" x14ac:dyDescent="0.25">
      <c r="B166" s="71" t="s">
        <v>94</v>
      </c>
      <c r="C166" s="72"/>
      <c r="D166" s="72"/>
      <c r="E166" s="72"/>
      <c r="F166" s="72"/>
      <c r="G166" s="73"/>
    </row>
    <row r="167" spans="2:8" x14ac:dyDescent="0.25">
      <c r="B167" s="14" t="s">
        <v>95</v>
      </c>
      <c r="C167" s="28">
        <v>232</v>
      </c>
      <c r="D167" s="28">
        <v>3294</v>
      </c>
      <c r="E167" s="28">
        <v>71</v>
      </c>
      <c r="F167" s="28">
        <v>474</v>
      </c>
      <c r="G167" s="28">
        <f>SUM(C167:F167)</f>
        <v>4071</v>
      </c>
    </row>
    <row r="168" spans="2:8" x14ac:dyDescent="0.25">
      <c r="B168" s="14" t="s">
        <v>96</v>
      </c>
      <c r="C168" s="28">
        <f>5800000/1000000</f>
        <v>5.8</v>
      </c>
      <c r="D168" s="28">
        <v>73.432000000000002</v>
      </c>
      <c r="E168" s="28">
        <v>1.7</v>
      </c>
      <c r="F168" s="28">
        <v>17.2</v>
      </c>
      <c r="G168" s="11">
        <f>SUM(C168:F168)</f>
        <v>98.132000000000005</v>
      </c>
    </row>
    <row r="169" spans="2:8" x14ac:dyDescent="0.25">
      <c r="B169" s="70"/>
      <c r="C169" s="70"/>
      <c r="D169" s="70"/>
      <c r="E169" s="70"/>
      <c r="F169" s="70"/>
      <c r="G169" s="70"/>
    </row>
    <row r="170" spans="2:8" x14ac:dyDescent="0.25">
      <c r="B170" s="71" t="s">
        <v>97</v>
      </c>
      <c r="C170" s="72"/>
      <c r="D170" s="72"/>
      <c r="E170" s="72"/>
      <c r="F170" s="72"/>
      <c r="G170" s="73"/>
    </row>
    <row r="171" spans="2:8" x14ac:dyDescent="0.25">
      <c r="B171" s="14" t="s">
        <v>98</v>
      </c>
      <c r="C171" s="28">
        <v>1677</v>
      </c>
      <c r="D171" s="28">
        <v>590</v>
      </c>
      <c r="E171" s="28">
        <v>121</v>
      </c>
      <c r="F171" s="28">
        <v>413</v>
      </c>
      <c r="G171" s="28">
        <f>SUM(C171:F171)</f>
        <v>2801</v>
      </c>
    </row>
    <row r="172" spans="2:8" x14ac:dyDescent="0.25">
      <c r="B172" s="14" t="s">
        <v>96</v>
      </c>
      <c r="C172" s="28">
        <f>36894000/1000000</f>
        <v>36.893999999999998</v>
      </c>
      <c r="D172" s="28">
        <v>12.494999999999999</v>
      </c>
      <c r="E172" s="28">
        <v>3.02</v>
      </c>
      <c r="F172" s="28">
        <v>9.0370000000000008</v>
      </c>
      <c r="G172" s="11">
        <f>SUM(C172:F172)</f>
        <v>61.445999999999998</v>
      </c>
    </row>
    <row r="173" spans="2:8" x14ac:dyDescent="0.25">
      <c r="B173" s="70"/>
      <c r="C173" s="70"/>
      <c r="D173" s="70"/>
      <c r="E173" s="70"/>
      <c r="F173" s="70"/>
      <c r="G173" s="70"/>
      <c r="H173" s="70"/>
    </row>
    <row r="174" spans="2:8" x14ac:dyDescent="0.25">
      <c r="B174" s="71" t="s">
        <v>99</v>
      </c>
      <c r="C174" s="72"/>
      <c r="D174" s="72"/>
      <c r="E174" s="72"/>
      <c r="F174" s="72"/>
      <c r="G174" s="73"/>
    </row>
    <row r="175" spans="2:8" x14ac:dyDescent="0.25">
      <c r="B175" s="14" t="s">
        <v>98</v>
      </c>
      <c r="C175" s="28">
        <v>201</v>
      </c>
      <c r="D175" s="28">
        <v>407</v>
      </c>
      <c r="E175" s="28">
        <v>140</v>
      </c>
      <c r="F175" s="28">
        <v>41</v>
      </c>
      <c r="G175" s="28">
        <f>SUM(C175:F175)</f>
        <v>789</v>
      </c>
    </row>
    <row r="176" spans="2:8" x14ac:dyDescent="0.25">
      <c r="B176" s="14" t="s">
        <v>96</v>
      </c>
      <c r="C176" s="28">
        <f>14070000/1000000</f>
        <v>14.07</v>
      </c>
      <c r="D176" s="28">
        <v>43.33</v>
      </c>
      <c r="E176" s="28">
        <v>8.1999999999999993</v>
      </c>
      <c r="F176" s="28">
        <v>4.17</v>
      </c>
      <c r="G176" s="11">
        <f>SUM(C176:F176)</f>
        <v>69.77</v>
      </c>
    </row>
    <row r="177" spans="2:8" x14ac:dyDescent="0.25">
      <c r="B177" s="70"/>
      <c r="C177" s="70"/>
      <c r="D177" s="70"/>
      <c r="E177" s="70"/>
      <c r="F177" s="70"/>
      <c r="G177" s="70"/>
      <c r="H177" s="70"/>
    </row>
    <row r="178" spans="2:8" x14ac:dyDescent="0.25">
      <c r="B178" s="71" t="s">
        <v>100</v>
      </c>
      <c r="C178" s="72"/>
      <c r="D178" s="72"/>
      <c r="E178" s="72"/>
      <c r="F178" s="72"/>
      <c r="G178" s="73"/>
    </row>
    <row r="179" spans="2:8" x14ac:dyDescent="0.25">
      <c r="B179" s="14" t="s">
        <v>98</v>
      </c>
      <c r="C179" s="28">
        <v>281</v>
      </c>
      <c r="D179" s="28">
        <v>159572</v>
      </c>
      <c r="E179" s="28">
        <v>0</v>
      </c>
      <c r="F179" s="28">
        <v>0</v>
      </c>
      <c r="G179" s="28">
        <f>SUM(C179:F179)</f>
        <v>159853</v>
      </c>
    </row>
    <row r="180" spans="2:8" x14ac:dyDescent="0.25">
      <c r="B180" s="14" t="s">
        <v>96</v>
      </c>
      <c r="C180" s="28">
        <f>8650000/1000000</f>
        <v>8.65</v>
      </c>
      <c r="D180" s="28">
        <v>1739.484854613163</v>
      </c>
      <c r="E180" s="28">
        <v>0</v>
      </c>
      <c r="F180" s="28">
        <v>0</v>
      </c>
      <c r="G180" s="11">
        <f>SUM(C180:F180)</f>
        <v>1748.134854613163</v>
      </c>
    </row>
    <row r="181" spans="2:8" x14ac:dyDescent="0.25">
      <c r="B181" s="70"/>
      <c r="C181" s="70"/>
      <c r="D181" s="70"/>
      <c r="E181" s="70"/>
      <c r="F181" s="70"/>
      <c r="G181" s="70"/>
      <c r="H181" s="70"/>
    </row>
    <row r="182" spans="2:8" x14ac:dyDescent="0.25">
      <c r="B182" s="69" t="s">
        <v>101</v>
      </c>
      <c r="C182" s="69"/>
      <c r="D182" s="69"/>
      <c r="E182" s="69"/>
      <c r="F182" s="69"/>
      <c r="G182" s="69"/>
    </row>
    <row r="183" spans="2:8" x14ac:dyDescent="0.25">
      <c r="B183" s="18" t="s">
        <v>102</v>
      </c>
      <c r="C183" s="19">
        <f>+C179+C175+C171+C167</f>
        <v>2391</v>
      </c>
      <c r="D183" s="46">
        <v>163863</v>
      </c>
      <c r="E183" s="19">
        <v>332</v>
      </c>
      <c r="F183" s="19">
        <f>+F179+F175+F171+F167</f>
        <v>928</v>
      </c>
      <c r="G183" s="19">
        <f>SUM(C183:F183)</f>
        <v>167514</v>
      </c>
    </row>
    <row r="184" spans="2:8" x14ac:dyDescent="0.25">
      <c r="B184" s="18" t="s">
        <v>103</v>
      </c>
      <c r="C184" s="19">
        <f>+C180+C176+C172+C168</f>
        <v>65.414000000000001</v>
      </c>
      <c r="D184" s="46">
        <v>1868.741854613163</v>
      </c>
      <c r="E184" s="19">
        <v>12.919999999999998</v>
      </c>
      <c r="F184" s="19">
        <f>+F180+F176+F172+F168</f>
        <v>30.407</v>
      </c>
      <c r="G184" s="22">
        <f>SUM(C184:F184)</f>
        <v>1977.482854613163</v>
      </c>
    </row>
    <row r="185" spans="2:8" x14ac:dyDescent="0.25">
      <c r="B185" s="70"/>
      <c r="C185" s="70"/>
      <c r="D185" s="70"/>
      <c r="E185" s="70"/>
      <c r="F185" s="70"/>
      <c r="G185" s="70"/>
      <c r="H185" s="70"/>
    </row>
    <row r="186" spans="2:8" x14ac:dyDescent="0.25">
      <c r="B186" s="69" t="s">
        <v>104</v>
      </c>
      <c r="C186" s="69"/>
      <c r="D186" s="69"/>
      <c r="E186" s="69"/>
      <c r="F186" s="69"/>
      <c r="G186" s="69"/>
    </row>
    <row r="187" spans="2:8" x14ac:dyDescent="0.25">
      <c r="B187" s="14" t="s">
        <v>105</v>
      </c>
      <c r="C187" s="28">
        <v>4038</v>
      </c>
      <c r="D187" s="28">
        <v>21023</v>
      </c>
      <c r="E187" s="28">
        <v>78</v>
      </c>
      <c r="F187" s="28">
        <v>28855</v>
      </c>
      <c r="G187" s="28">
        <f>SUM(C187:F187)</f>
        <v>53994</v>
      </c>
    </row>
    <row r="188" spans="2:8" x14ac:dyDescent="0.25">
      <c r="B188" s="14" t="s">
        <v>106</v>
      </c>
      <c r="C188" s="28">
        <f>33024929/1000000</f>
        <v>33.024929</v>
      </c>
      <c r="D188" s="28">
        <v>296.307098</v>
      </c>
      <c r="E188" s="28">
        <v>3.09</v>
      </c>
      <c r="F188" s="28">
        <v>292.59515699999997</v>
      </c>
      <c r="G188" s="11">
        <f>SUM(C188:F188)</f>
        <v>625.01718399999993</v>
      </c>
    </row>
    <row r="189" spans="2:8" x14ac:dyDescent="0.25">
      <c r="B189" s="70"/>
      <c r="C189" s="70"/>
      <c r="D189" s="70"/>
      <c r="E189" s="70"/>
      <c r="F189" s="70"/>
      <c r="G189" s="70"/>
      <c r="H189" s="70"/>
    </row>
    <row r="190" spans="2:8" x14ac:dyDescent="0.25">
      <c r="B190" s="69" t="s">
        <v>107</v>
      </c>
      <c r="C190" s="69"/>
      <c r="D190" s="69"/>
      <c r="E190" s="69"/>
      <c r="F190" s="69"/>
      <c r="G190" s="69"/>
    </row>
    <row r="191" spans="2:8" x14ac:dyDescent="0.25">
      <c r="B191" s="18" t="s">
        <v>108</v>
      </c>
      <c r="C191" s="19">
        <f>C187+C162+C183</f>
        <v>9713</v>
      </c>
      <c r="D191" s="46">
        <v>229378</v>
      </c>
      <c r="E191" s="19">
        <v>4637</v>
      </c>
      <c r="F191" s="19">
        <f>F158+F162+F183+F187</f>
        <v>57710</v>
      </c>
      <c r="G191" s="19">
        <f>SUM(C191:F191)</f>
        <v>301438</v>
      </c>
    </row>
    <row r="192" spans="2:8" x14ac:dyDescent="0.25">
      <c r="B192" s="18" t="s">
        <v>109</v>
      </c>
      <c r="C192" s="19">
        <f>C188+C163+C184</f>
        <v>173.43875600000001</v>
      </c>
      <c r="D192" s="46">
        <v>2834.4357196131632</v>
      </c>
      <c r="E192" s="19">
        <v>87.009999999999991</v>
      </c>
      <c r="F192" s="19">
        <f>F159+F184+F163+F188</f>
        <v>585.17031399999996</v>
      </c>
      <c r="G192" s="22">
        <f>SUM(C192:F192)</f>
        <v>3680.0547896131629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AE20-C1E1-43E0-84A4-A4FE52F08931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90" t="s">
        <v>1</v>
      </c>
      <c r="C2" s="91"/>
      <c r="D2" s="91"/>
      <c r="E2" s="91"/>
      <c r="F2" s="92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79" t="s">
        <v>7</v>
      </c>
      <c r="B4" s="80"/>
      <c r="C4" s="80"/>
      <c r="D4" s="80"/>
      <c r="E4" s="80"/>
      <c r="F4" s="81"/>
    </row>
    <row r="5" spans="1:6" x14ac:dyDescent="0.25">
      <c r="A5" s="75" t="s">
        <v>8</v>
      </c>
      <c r="B5" s="76"/>
      <c r="C5" s="76"/>
      <c r="D5" s="76"/>
      <c r="E5" s="76"/>
      <c r="F5" s="77"/>
    </row>
    <row r="6" spans="1:6" x14ac:dyDescent="0.25">
      <c r="A6" s="4" t="s">
        <v>9</v>
      </c>
      <c r="B6" s="12">
        <v>55210</v>
      </c>
      <c r="C6" s="12">
        <v>8137</v>
      </c>
      <c r="D6" s="12">
        <v>8527</v>
      </c>
      <c r="E6" s="12">
        <v>10131</v>
      </c>
      <c r="F6" s="12">
        <f>+E6+D6+C6+B6</f>
        <v>82005</v>
      </c>
    </row>
    <row r="7" spans="1:6" x14ac:dyDescent="0.25">
      <c r="A7" s="14" t="s">
        <v>10</v>
      </c>
      <c r="B7" s="12">
        <v>535</v>
      </c>
      <c r="C7" s="12">
        <v>255</v>
      </c>
      <c r="D7" s="12">
        <v>31</v>
      </c>
      <c r="E7" s="12">
        <v>145</v>
      </c>
      <c r="F7" s="12">
        <f>+E7+D7+C7+B7</f>
        <v>966</v>
      </c>
    </row>
    <row r="8" spans="1:6" x14ac:dyDescent="0.25">
      <c r="A8" s="18" t="s">
        <v>11</v>
      </c>
      <c r="B8" s="25">
        <f>SUM(B6:B7)</f>
        <v>55745</v>
      </c>
      <c r="C8" s="25">
        <v>8392</v>
      </c>
      <c r="D8" s="25">
        <v>8558</v>
      </c>
      <c r="E8" s="25">
        <v>10276</v>
      </c>
      <c r="F8" s="25">
        <f>+E8+D8+C8+B8</f>
        <v>82971</v>
      </c>
    </row>
    <row r="9" spans="1:6" x14ac:dyDescent="0.25">
      <c r="A9" s="70"/>
      <c r="B9" s="70"/>
      <c r="C9" s="70"/>
      <c r="D9" s="70"/>
      <c r="E9" s="70"/>
      <c r="F9" s="70"/>
    </row>
    <row r="10" spans="1:6" x14ac:dyDescent="0.25">
      <c r="A10" s="75" t="s">
        <v>12</v>
      </c>
      <c r="B10" s="76"/>
      <c r="C10" s="76"/>
      <c r="D10" s="76"/>
      <c r="E10" s="76"/>
      <c r="F10" s="77"/>
    </row>
    <row r="11" spans="1:6" x14ac:dyDescent="0.25">
      <c r="A11" s="71" t="s">
        <v>13</v>
      </c>
      <c r="B11" s="72"/>
      <c r="C11" s="72"/>
      <c r="D11" s="72"/>
      <c r="E11" s="72"/>
      <c r="F11" s="73"/>
    </row>
    <row r="12" spans="1:6" x14ac:dyDescent="0.25">
      <c r="A12" s="16" t="s">
        <v>14</v>
      </c>
      <c r="B12" s="12">
        <v>830632</v>
      </c>
      <c r="C12" s="12">
        <v>116602</v>
      </c>
      <c r="D12" s="12">
        <v>46369</v>
      </c>
      <c r="E12" s="12">
        <v>0</v>
      </c>
      <c r="F12" s="17">
        <f>SUM(B12:E12)</f>
        <v>993603</v>
      </c>
    </row>
    <row r="13" spans="1:6" x14ac:dyDescent="0.25">
      <c r="A13" s="16" t="s">
        <v>15</v>
      </c>
      <c r="B13" s="12">
        <v>2382983</v>
      </c>
      <c r="C13" s="12">
        <v>551961</v>
      </c>
      <c r="D13" s="12">
        <v>234219</v>
      </c>
      <c r="E13" s="12">
        <v>0</v>
      </c>
      <c r="F13" s="17">
        <f>SUM(B13:E13)</f>
        <v>3169163</v>
      </c>
    </row>
    <row r="14" spans="1:6" x14ac:dyDescent="0.25">
      <c r="A14" s="18" t="s">
        <v>16</v>
      </c>
      <c r="B14" s="25">
        <f>B13+B12</f>
        <v>3213615</v>
      </c>
      <c r="C14" s="25">
        <v>1010153</v>
      </c>
      <c r="D14" s="25">
        <v>280588</v>
      </c>
      <c r="E14" s="25">
        <v>141554</v>
      </c>
      <c r="F14" s="19">
        <f>SUM(B14:E14)</f>
        <v>4645910</v>
      </c>
    </row>
    <row r="15" spans="1:6" x14ac:dyDescent="0.25">
      <c r="A15" s="18" t="s">
        <v>17</v>
      </c>
      <c r="B15" s="25">
        <v>465528</v>
      </c>
      <c r="C15" s="25">
        <v>157960</v>
      </c>
      <c r="D15" s="25">
        <v>3095</v>
      </c>
      <c r="E15" s="25">
        <v>361352</v>
      </c>
      <c r="F15" s="19">
        <f>SUM(B15:E15)</f>
        <v>987935</v>
      </c>
    </row>
    <row r="16" spans="1:6" x14ac:dyDescent="0.25">
      <c r="A16" s="18" t="s">
        <v>18</v>
      </c>
      <c r="B16" s="25">
        <f>B15+B14</f>
        <v>3679143</v>
      </c>
      <c r="C16" s="25">
        <v>1168113</v>
      </c>
      <c r="D16" s="25">
        <v>283683</v>
      </c>
      <c r="E16" s="25">
        <v>502906</v>
      </c>
      <c r="F16" s="19">
        <f>SUM(B16:E16)</f>
        <v>5633845</v>
      </c>
    </row>
    <row r="17" spans="1:7" x14ac:dyDescent="0.25">
      <c r="A17" s="70"/>
      <c r="B17" s="70"/>
      <c r="C17" s="70"/>
      <c r="D17" s="70"/>
      <c r="E17" s="70"/>
      <c r="F17" s="70"/>
    </row>
    <row r="18" spans="1:7" x14ac:dyDescent="0.25">
      <c r="A18" s="71" t="s">
        <v>19</v>
      </c>
      <c r="B18" s="72"/>
      <c r="C18" s="72"/>
      <c r="D18" s="72"/>
      <c r="E18" s="72"/>
      <c r="F18" s="73"/>
    </row>
    <row r="19" spans="1:7" x14ac:dyDescent="0.25">
      <c r="A19" s="14" t="s">
        <v>20</v>
      </c>
      <c r="B19" s="12">
        <v>3523</v>
      </c>
      <c r="C19" s="28">
        <v>4</v>
      </c>
      <c r="D19" s="28">
        <v>0</v>
      </c>
      <c r="E19" s="28">
        <v>0</v>
      </c>
      <c r="F19" s="28">
        <f>SUM(B19:E19)</f>
        <v>3527</v>
      </c>
    </row>
    <row r="20" spans="1:7" x14ac:dyDescent="0.25">
      <c r="A20" s="93"/>
      <c r="B20" s="93"/>
      <c r="C20" s="93"/>
      <c r="D20" s="93"/>
      <c r="E20" s="93"/>
      <c r="F20" s="93"/>
    </row>
    <row r="21" spans="1:7" x14ac:dyDescent="0.25">
      <c r="A21" s="18" t="s">
        <v>21</v>
      </c>
      <c r="B21" s="19">
        <f>+B19+B16</f>
        <v>3682666</v>
      </c>
      <c r="C21" s="19">
        <v>1168117</v>
      </c>
      <c r="D21" s="19">
        <v>283683</v>
      </c>
      <c r="E21" s="19">
        <f>E16</f>
        <v>502906</v>
      </c>
      <c r="F21" s="19">
        <f>SUM(B21:E21)</f>
        <v>5637372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400920</v>
      </c>
      <c r="C24" s="19">
        <v>196976</v>
      </c>
      <c r="D24" s="19">
        <v>137245</v>
      </c>
      <c r="E24" s="19">
        <v>681290</v>
      </c>
      <c r="F24" s="19">
        <f>SUM(B24:E24)</f>
        <v>1416431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4083586</v>
      </c>
      <c r="C27" s="19">
        <v>1365093</v>
      </c>
      <c r="D27" s="19">
        <f>+D21+D24</f>
        <v>420928</v>
      </c>
      <c r="E27" s="19">
        <f>+E24+E21</f>
        <v>1184196</v>
      </c>
      <c r="F27" s="19">
        <f>SUM(B27:E27)</f>
        <v>7053803</v>
      </c>
    </row>
    <row r="28" spans="1:7" x14ac:dyDescent="0.25">
      <c r="A28" s="70"/>
      <c r="B28" s="70"/>
      <c r="C28" s="70"/>
      <c r="D28" s="70"/>
      <c r="E28" s="70"/>
      <c r="F28" s="70"/>
      <c r="G28" s="70"/>
    </row>
    <row r="29" spans="1:7" x14ac:dyDescent="0.25">
      <c r="A29" s="75" t="s">
        <v>26</v>
      </c>
      <c r="B29" s="76"/>
      <c r="C29" s="76"/>
      <c r="D29" s="76"/>
      <c r="E29" s="76"/>
      <c r="F29" s="77"/>
    </row>
    <row r="30" spans="1:7" x14ac:dyDescent="0.25">
      <c r="A30" s="14" t="s">
        <v>27</v>
      </c>
      <c r="B30" s="28">
        <v>1293498</v>
      </c>
      <c r="C30" s="28">
        <v>134828</v>
      </c>
      <c r="D30" s="28">
        <v>80030</v>
      </c>
      <c r="E30" s="28">
        <v>212148</v>
      </c>
      <c r="F30" s="28">
        <f>SUM(B30:E30)</f>
        <v>1720504</v>
      </c>
    </row>
    <row r="31" spans="1:7" x14ac:dyDescent="0.25">
      <c r="A31" s="70"/>
      <c r="B31" s="70"/>
      <c r="C31" s="70"/>
      <c r="D31" s="70"/>
      <c r="E31" s="70"/>
      <c r="F31" s="70"/>
      <c r="G31" s="70"/>
    </row>
    <row r="32" spans="1:7" x14ac:dyDescent="0.25">
      <c r="A32" s="75" t="s">
        <v>28</v>
      </c>
      <c r="B32" s="76"/>
      <c r="C32" s="76"/>
      <c r="D32" s="76"/>
      <c r="E32" s="76"/>
      <c r="F32" s="77"/>
    </row>
    <row r="33" spans="1:8" x14ac:dyDescent="0.25">
      <c r="A33" s="14" t="s">
        <v>29</v>
      </c>
      <c r="B33" s="28">
        <v>3774269493787</v>
      </c>
      <c r="C33" s="28">
        <v>677306436752</v>
      </c>
      <c r="D33" s="28">
        <v>245478576651</v>
      </c>
      <c r="E33" s="28">
        <v>449010936161</v>
      </c>
      <c r="F33" s="28">
        <f>SUM(B33:E33)</f>
        <v>5146065443351</v>
      </c>
    </row>
    <row r="34" spans="1:8" x14ac:dyDescent="0.25">
      <c r="A34" s="14" t="s">
        <v>30</v>
      </c>
      <c r="B34" s="28">
        <v>167425021042</v>
      </c>
      <c r="C34" s="28">
        <v>68572948516</v>
      </c>
      <c r="D34" s="28">
        <v>40248055100</v>
      </c>
      <c r="E34" s="28">
        <v>205672588481</v>
      </c>
      <c r="F34" s="28">
        <f>SUM(B34:E34)</f>
        <v>481918613139</v>
      </c>
    </row>
    <row r="35" spans="1:8" x14ac:dyDescent="0.25">
      <c r="A35" s="41" t="s">
        <v>31</v>
      </c>
      <c r="B35" s="42">
        <f>SUM(B33:B34)</f>
        <v>3941694514829</v>
      </c>
      <c r="C35" s="42">
        <v>745879385268</v>
      </c>
      <c r="D35" s="42">
        <v>285726631751</v>
      </c>
      <c r="E35" s="42">
        <v>654683524642</v>
      </c>
      <c r="F35" s="42">
        <f>SUM(B35:E35)</f>
        <v>5627984056490</v>
      </c>
    </row>
    <row r="36" spans="1:8" x14ac:dyDescent="0.25">
      <c r="A36" s="94" t="s">
        <v>32</v>
      </c>
      <c r="B36" s="94"/>
      <c r="C36" s="94"/>
      <c r="D36" s="94"/>
      <c r="E36" s="94"/>
      <c r="F36" s="94"/>
      <c r="G36" s="94"/>
    </row>
    <row r="37" spans="1:8" x14ac:dyDescent="0.25">
      <c r="A37" s="40"/>
      <c r="B37" s="40"/>
      <c r="C37" s="40"/>
      <c r="D37" s="40"/>
      <c r="E37" s="40"/>
      <c r="F37" s="40"/>
      <c r="G37" s="40"/>
    </row>
    <row r="38" spans="1:8" ht="21" x14ac:dyDescent="0.35">
      <c r="A38" s="79" t="s">
        <v>33</v>
      </c>
      <c r="B38" s="80"/>
      <c r="C38" s="80"/>
      <c r="D38" s="80"/>
      <c r="E38" s="80"/>
      <c r="F38" s="81"/>
    </row>
    <row r="39" spans="1:8" x14ac:dyDescent="0.25">
      <c r="A39" s="75" t="s">
        <v>34</v>
      </c>
      <c r="B39" s="76"/>
      <c r="C39" s="76"/>
      <c r="D39" s="76"/>
      <c r="E39" s="76"/>
      <c r="F39" s="77"/>
    </row>
    <row r="40" spans="1:8" x14ac:dyDescent="0.25">
      <c r="A40" s="14" t="s">
        <v>35</v>
      </c>
      <c r="B40" s="28">
        <v>652794</v>
      </c>
      <c r="C40" s="28">
        <v>115376</v>
      </c>
      <c r="D40" s="28">
        <v>43042</v>
      </c>
      <c r="E40" s="28">
        <v>71909</v>
      </c>
      <c r="F40" s="28">
        <f>SUM(B40:E40)</f>
        <v>883121</v>
      </c>
      <c r="G40" s="7"/>
      <c r="H40" s="7"/>
    </row>
    <row r="41" spans="1:8" x14ac:dyDescent="0.25">
      <c r="A41" s="14" t="s">
        <v>36</v>
      </c>
      <c r="B41" s="28">
        <f>4722485594/1000000</f>
        <v>4722.4855939999998</v>
      </c>
      <c r="C41" s="28">
        <v>1178.87147</v>
      </c>
      <c r="D41" s="28">
        <v>442</v>
      </c>
      <c r="E41" s="28">
        <v>672.55423399999995</v>
      </c>
      <c r="F41" s="11">
        <f>SUM(B41:E41)</f>
        <v>7015.911298</v>
      </c>
      <c r="G41" s="7"/>
      <c r="H41" s="7"/>
    </row>
    <row r="42" spans="1:8" x14ac:dyDescent="0.25">
      <c r="A42" s="70"/>
      <c r="B42" s="70"/>
      <c r="C42" s="70"/>
      <c r="D42" s="70"/>
      <c r="E42" s="70"/>
      <c r="F42" s="70"/>
      <c r="G42" s="70"/>
      <c r="H42" s="7"/>
    </row>
    <row r="43" spans="1:8" x14ac:dyDescent="0.25">
      <c r="A43" s="69" t="s">
        <v>37</v>
      </c>
      <c r="B43" s="69"/>
      <c r="C43" s="69"/>
      <c r="D43" s="69"/>
      <c r="E43" s="69"/>
      <c r="F43" s="69"/>
      <c r="H43" s="7"/>
    </row>
    <row r="44" spans="1:8" x14ac:dyDescent="0.25">
      <c r="A44" s="14" t="s">
        <v>38</v>
      </c>
      <c r="B44">
        <v>9</v>
      </c>
      <c r="C44" s="28">
        <v>12</v>
      </c>
      <c r="D44" s="28">
        <v>2</v>
      </c>
      <c r="E44" s="28">
        <v>0</v>
      </c>
      <c r="F44" s="28">
        <f>SUM(B44:E44)</f>
        <v>23</v>
      </c>
      <c r="G44" s="7"/>
      <c r="H44" s="7"/>
    </row>
    <row r="45" spans="1:8" x14ac:dyDescent="0.25">
      <c r="A45" s="14" t="s">
        <v>39</v>
      </c>
      <c r="B45" s="28">
        <f>4761413/1000000</f>
        <v>4.7614130000000001</v>
      </c>
      <c r="C45" s="13">
        <v>0.16</v>
      </c>
      <c r="D45" s="28">
        <v>8.0000000000000002E-3</v>
      </c>
      <c r="E45" s="28">
        <v>0</v>
      </c>
      <c r="F45" s="11">
        <f>SUM(B45:E45)</f>
        <v>4.9294130000000003</v>
      </c>
      <c r="G45" s="7"/>
      <c r="H45" s="7"/>
    </row>
    <row r="46" spans="1:8" x14ac:dyDescent="0.25">
      <c r="A46" s="70"/>
      <c r="B46" s="70"/>
      <c r="C46" s="70"/>
      <c r="D46" s="70"/>
      <c r="E46" s="70"/>
      <c r="F46" s="70"/>
      <c r="G46" s="70"/>
      <c r="H46" s="7"/>
    </row>
    <row r="47" spans="1:8" x14ac:dyDescent="0.25">
      <c r="A47" s="69" t="s">
        <v>40</v>
      </c>
      <c r="B47" s="69"/>
      <c r="C47" s="69"/>
      <c r="D47" s="69"/>
      <c r="E47" s="69"/>
      <c r="F47" s="69"/>
      <c r="H47" s="7"/>
    </row>
    <row r="48" spans="1:8" x14ac:dyDescent="0.25">
      <c r="A48" s="14" t="s">
        <v>41</v>
      </c>
      <c r="B48" s="28">
        <v>138914</v>
      </c>
      <c r="C48" s="28">
        <v>70747</v>
      </c>
      <c r="D48" s="28">
        <v>12741</v>
      </c>
      <c r="E48" s="28">
        <v>64273</v>
      </c>
      <c r="F48" s="28">
        <f>SUM(B48:E48)</f>
        <v>286675</v>
      </c>
      <c r="G48" s="7"/>
      <c r="H48" s="7"/>
    </row>
    <row r="49" spans="1:8" x14ac:dyDescent="0.25">
      <c r="A49" s="14" t="s">
        <v>42</v>
      </c>
      <c r="B49" s="28">
        <f>(85743062143+ 1794976432)/1000000</f>
        <v>87538.038574999999</v>
      </c>
      <c r="C49" s="28">
        <v>25131</v>
      </c>
      <c r="D49" s="28">
        <v>10952</v>
      </c>
      <c r="E49" s="12">
        <v>12610.568740999999</v>
      </c>
      <c r="F49" s="11">
        <f>SUM(B49:E49)</f>
        <v>136231.60731600001</v>
      </c>
      <c r="G49" s="7"/>
      <c r="H49" s="7"/>
    </row>
    <row r="50" spans="1:8" x14ac:dyDescent="0.25">
      <c r="A50" s="70"/>
      <c r="B50" s="70"/>
      <c r="C50" s="70"/>
      <c r="D50" s="70"/>
      <c r="E50" s="70"/>
      <c r="F50" s="70"/>
      <c r="G50" s="70"/>
    </row>
    <row r="51" spans="1:8" ht="21" x14ac:dyDescent="0.35">
      <c r="A51" s="79" t="s">
        <v>43</v>
      </c>
      <c r="B51" s="80"/>
      <c r="C51" s="80"/>
      <c r="D51" s="80"/>
      <c r="E51" s="80"/>
      <c r="F51" s="81"/>
    </row>
    <row r="52" spans="1:8" x14ac:dyDescent="0.25">
      <c r="A52" s="89"/>
      <c r="B52" s="89"/>
      <c r="C52" s="89"/>
      <c r="D52" s="89"/>
      <c r="E52" s="89"/>
      <c r="F52" s="89"/>
      <c r="G52" s="89"/>
    </row>
    <row r="53" spans="1:8" x14ac:dyDescent="0.25">
      <c r="A53" s="69" t="s">
        <v>44</v>
      </c>
      <c r="B53" s="69"/>
      <c r="C53" s="69"/>
      <c r="D53" s="69"/>
      <c r="E53" s="69"/>
      <c r="F53" s="69"/>
    </row>
    <row r="54" spans="1:8" x14ac:dyDescent="0.25">
      <c r="A54" s="74" t="s">
        <v>45</v>
      </c>
      <c r="B54" s="74"/>
      <c r="C54" s="74"/>
      <c r="D54" s="74"/>
      <c r="E54" s="74"/>
      <c r="F54" s="74"/>
    </row>
    <row r="55" spans="1:8" x14ac:dyDescent="0.25">
      <c r="A55" s="14" t="s">
        <v>46</v>
      </c>
      <c r="B55" s="12">
        <v>94730</v>
      </c>
      <c r="C55" s="12">
        <v>4923</v>
      </c>
      <c r="D55" s="12">
        <v>1383</v>
      </c>
      <c r="E55" s="12">
        <v>4588</v>
      </c>
      <c r="F55" s="28">
        <f t="shared" ref="F55:F71" si="0">SUM(B55:E55)</f>
        <v>105624</v>
      </c>
    </row>
    <row r="56" spans="1:8" x14ac:dyDescent="0.25">
      <c r="A56" s="14" t="s">
        <v>47</v>
      </c>
      <c r="B56" s="12">
        <v>72569.098706999997</v>
      </c>
      <c r="C56" s="12">
        <v>6017.1918160000096</v>
      </c>
      <c r="D56" s="12">
        <v>2001</v>
      </c>
      <c r="E56" s="12">
        <v>11342</v>
      </c>
      <c r="F56" s="28">
        <f t="shared" si="0"/>
        <v>91929.290523000003</v>
      </c>
    </row>
    <row r="57" spans="1:8" x14ac:dyDescent="0.25">
      <c r="A57" s="14" t="s">
        <v>48</v>
      </c>
      <c r="B57" s="12">
        <v>15.3980365248601</v>
      </c>
      <c r="C57" s="12">
        <v>36</v>
      </c>
      <c r="D57" s="12">
        <v>21</v>
      </c>
      <c r="E57" s="12">
        <v>31</v>
      </c>
      <c r="F57" s="28">
        <f>AVERAGE(B57:E57)</f>
        <v>25.849509131215026</v>
      </c>
    </row>
    <row r="58" spans="1:8" x14ac:dyDescent="0.25">
      <c r="A58" s="14" t="s">
        <v>49</v>
      </c>
      <c r="B58" s="12">
        <v>768464</v>
      </c>
      <c r="C58" s="28">
        <v>141991</v>
      </c>
      <c r="D58" s="63">
        <v>50837</v>
      </c>
      <c r="E58" s="12">
        <v>74757</v>
      </c>
      <c r="F58" s="28">
        <f t="shared" si="0"/>
        <v>1036049</v>
      </c>
    </row>
    <row r="59" spans="1:8" x14ac:dyDescent="0.25">
      <c r="A59" s="14" t="s">
        <v>50</v>
      </c>
      <c r="B59" s="12">
        <v>1769074.854271</v>
      </c>
      <c r="C59" s="28">
        <v>263321.97119299998</v>
      </c>
      <c r="D59" s="63">
        <v>109858.78823400001</v>
      </c>
      <c r="E59" s="12">
        <v>167093</v>
      </c>
      <c r="F59" s="11">
        <f t="shared" si="0"/>
        <v>2309348.6136980001</v>
      </c>
    </row>
    <row r="60" spans="1:8" x14ac:dyDescent="0.25">
      <c r="A60" s="74" t="s">
        <v>51</v>
      </c>
      <c r="B60" s="74"/>
      <c r="C60" s="74"/>
      <c r="D60" s="74"/>
      <c r="E60" s="74"/>
      <c r="F60" s="74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 x14ac:dyDescent="0.25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 x14ac:dyDescent="0.25">
      <c r="A66" s="74" t="s">
        <v>52</v>
      </c>
      <c r="B66" s="74"/>
      <c r="C66" s="74"/>
      <c r="D66" s="74"/>
      <c r="E66" s="74"/>
      <c r="F66" s="74"/>
    </row>
    <row r="67" spans="1:7" x14ac:dyDescent="0.25">
      <c r="A67" s="14" t="s">
        <v>46</v>
      </c>
      <c r="B67" s="12">
        <v>6866</v>
      </c>
      <c r="C67" s="12">
        <v>1547</v>
      </c>
      <c r="D67" s="12">
        <v>1438</v>
      </c>
      <c r="E67" s="12">
        <v>11041</v>
      </c>
      <c r="F67" s="28">
        <f t="shared" si="0"/>
        <v>20892</v>
      </c>
    </row>
    <row r="68" spans="1:7" x14ac:dyDescent="0.25">
      <c r="A68" s="14" t="s">
        <v>47</v>
      </c>
      <c r="B68" s="12">
        <v>5574.814719</v>
      </c>
      <c r="C68" s="12">
        <v>1557.087522</v>
      </c>
      <c r="D68" s="12">
        <v>1417</v>
      </c>
      <c r="E68" s="12">
        <v>14099</v>
      </c>
      <c r="F68" s="28">
        <f t="shared" si="0"/>
        <v>22647.902241</v>
      </c>
    </row>
    <row r="69" spans="1:7" x14ac:dyDescent="0.25">
      <c r="A69" s="14" t="s">
        <v>48</v>
      </c>
      <c r="B69" s="12">
        <v>38.717448295951101</v>
      </c>
      <c r="C69" s="12">
        <v>54</v>
      </c>
      <c r="D69" s="12">
        <v>48</v>
      </c>
      <c r="E69" s="12">
        <v>39</v>
      </c>
      <c r="F69" s="28">
        <f>AVERAGE(B69:E69)</f>
        <v>44.929362073987775</v>
      </c>
    </row>
    <row r="70" spans="1:7" x14ac:dyDescent="0.25">
      <c r="A70" s="14" t="s">
        <v>49</v>
      </c>
      <c r="B70" s="12">
        <v>132076</v>
      </c>
      <c r="C70" s="28">
        <v>86740</v>
      </c>
      <c r="D70" s="12">
        <v>58755</v>
      </c>
      <c r="E70" s="12">
        <v>263016</v>
      </c>
      <c r="F70" s="28">
        <f t="shared" si="0"/>
        <v>540587</v>
      </c>
    </row>
    <row r="71" spans="1:7" x14ac:dyDescent="0.25">
      <c r="A71" s="14" t="s">
        <v>50</v>
      </c>
      <c r="B71" s="12">
        <v>133593.53696</v>
      </c>
      <c r="C71" s="28">
        <v>99082.422198</v>
      </c>
      <c r="D71" s="12">
        <v>60543.855473000003</v>
      </c>
      <c r="E71" s="12">
        <v>235001</v>
      </c>
      <c r="F71" s="11">
        <f t="shared" si="0"/>
        <v>528220.81463100004</v>
      </c>
    </row>
    <row r="72" spans="1:7" x14ac:dyDescent="0.25">
      <c r="A72" s="83" t="s">
        <v>53</v>
      </c>
      <c r="B72" s="84"/>
      <c r="C72" s="84"/>
      <c r="D72" s="84"/>
      <c r="E72" s="84"/>
      <c r="F72" s="85"/>
    </row>
    <row r="73" spans="1:7" x14ac:dyDescent="0.25">
      <c r="A73" s="18" t="s">
        <v>54</v>
      </c>
      <c r="B73" s="19">
        <f>+B55+B67</f>
        <v>101596</v>
      </c>
      <c r="C73" s="19">
        <v>6470</v>
      </c>
      <c r="D73" s="19">
        <v>2821</v>
      </c>
      <c r="E73" s="19">
        <v>15629</v>
      </c>
      <c r="F73" s="19">
        <f>SUM(B73:E73)</f>
        <v>126516</v>
      </c>
    </row>
    <row r="74" spans="1:7" x14ac:dyDescent="0.25">
      <c r="A74" s="18" t="s">
        <v>47</v>
      </c>
      <c r="B74" s="19">
        <f>+B56+B68</f>
        <v>78143.913425999999</v>
      </c>
      <c r="C74" s="19">
        <v>7574.2793380000094</v>
      </c>
      <c r="D74" s="19">
        <v>3418</v>
      </c>
      <c r="E74" s="19">
        <v>25441</v>
      </c>
      <c r="F74" s="22">
        <f>SUM(B74:E74)</f>
        <v>114577.19276400001</v>
      </c>
    </row>
    <row r="75" spans="1:7" x14ac:dyDescent="0.25">
      <c r="A75" s="18" t="s">
        <v>48</v>
      </c>
      <c r="B75" s="19">
        <v>16.973995039174799</v>
      </c>
      <c r="C75" s="19">
        <v>30</v>
      </c>
      <c r="D75" s="19">
        <v>69</v>
      </c>
      <c r="E75" s="19">
        <v>35</v>
      </c>
      <c r="F75" s="19">
        <f>AVERAGE(B75:E75)</f>
        <v>37.743498759793695</v>
      </c>
    </row>
    <row r="76" spans="1:7" x14ac:dyDescent="0.25">
      <c r="A76" s="18" t="s">
        <v>49</v>
      </c>
      <c r="B76" s="19">
        <f>+B58+B70</f>
        <v>900540</v>
      </c>
      <c r="C76" s="67">
        <f t="shared" ref="C76" si="1">+C70+C64+C58</f>
        <v>228731</v>
      </c>
      <c r="D76" s="19">
        <v>109592</v>
      </c>
      <c r="E76" s="19">
        <v>337773</v>
      </c>
      <c r="F76" s="19">
        <f>SUM(B76:E76)</f>
        <v>1576636</v>
      </c>
    </row>
    <row r="77" spans="1:7" x14ac:dyDescent="0.25">
      <c r="A77" s="18" t="s">
        <v>50</v>
      </c>
      <c r="B77" s="19">
        <f>+B59+B71</f>
        <v>1902668.391231</v>
      </c>
      <c r="C77" s="67">
        <f>+C71+C65+C59</f>
        <v>362404.39339099999</v>
      </c>
      <c r="D77" s="19">
        <v>170402.64370700001</v>
      </c>
      <c r="E77" s="19">
        <v>402094</v>
      </c>
      <c r="F77" s="22">
        <f>SUM(B77:E77)</f>
        <v>2837569.4283290002</v>
      </c>
    </row>
    <row r="78" spans="1:7" x14ac:dyDescent="0.25">
      <c r="A78" s="70"/>
      <c r="B78" s="70"/>
      <c r="C78" s="70"/>
      <c r="D78" s="70"/>
      <c r="E78" s="70"/>
      <c r="F78" s="70"/>
      <c r="G78" s="70"/>
    </row>
    <row r="79" spans="1:7" x14ac:dyDescent="0.25">
      <c r="A79" s="75" t="s">
        <v>55</v>
      </c>
      <c r="B79" s="76"/>
      <c r="C79" s="76"/>
      <c r="D79" s="76"/>
      <c r="E79" s="76"/>
      <c r="F79" s="77"/>
    </row>
    <row r="80" spans="1:7" x14ac:dyDescent="0.25">
      <c r="A80" s="71" t="s">
        <v>45</v>
      </c>
      <c r="B80" s="72"/>
      <c r="C80" s="72"/>
      <c r="D80" s="72"/>
      <c r="E80" s="72"/>
      <c r="F80" s="73"/>
    </row>
    <row r="81" spans="1:6" x14ac:dyDescent="0.25">
      <c r="A81" s="14" t="s">
        <v>46</v>
      </c>
      <c r="B81" s="12">
        <v>0</v>
      </c>
      <c r="C81" s="12">
        <v>0</v>
      </c>
      <c r="D81" s="12">
        <v>0</v>
      </c>
      <c r="E81" s="12">
        <v>0</v>
      </c>
      <c r="F81" s="20">
        <f>SUM(B81:E81)</f>
        <v>0</v>
      </c>
    </row>
    <row r="82" spans="1:6" x14ac:dyDescent="0.25">
      <c r="A82" s="14" t="s">
        <v>47</v>
      </c>
      <c r="B82" s="12">
        <v>0</v>
      </c>
      <c r="C82" s="12">
        <v>0</v>
      </c>
      <c r="D82" s="12">
        <v>0</v>
      </c>
      <c r="E82" s="12">
        <v>0</v>
      </c>
      <c r="F82" s="24">
        <f>SUM(B82:E82)</f>
        <v>0</v>
      </c>
    </row>
    <row r="83" spans="1:6" x14ac:dyDescent="0.25">
      <c r="A83" s="14" t="s">
        <v>48</v>
      </c>
      <c r="B83" s="12">
        <v>0</v>
      </c>
      <c r="C83" s="12">
        <v>0</v>
      </c>
      <c r="D83" s="12">
        <v>0</v>
      </c>
      <c r="E83" s="12">
        <v>0</v>
      </c>
      <c r="F83" s="24">
        <f>AVERAGE(B83:E83)</f>
        <v>0</v>
      </c>
    </row>
    <row r="84" spans="1:6" x14ac:dyDescent="0.25">
      <c r="A84" s="14" t="s">
        <v>49</v>
      </c>
      <c r="B84" s="12">
        <v>1019</v>
      </c>
      <c r="C84" s="12">
        <v>117</v>
      </c>
      <c r="D84" s="12">
        <v>6</v>
      </c>
      <c r="E84" s="12">
        <v>95</v>
      </c>
      <c r="F84" s="24">
        <f>SUM(B84:E84)</f>
        <v>1237</v>
      </c>
    </row>
    <row r="85" spans="1:6" x14ac:dyDescent="0.25">
      <c r="A85" s="14" t="s">
        <v>50</v>
      </c>
      <c r="B85" s="12">
        <v>21976.223731999999</v>
      </c>
      <c r="C85" s="12">
        <v>1475</v>
      </c>
      <c r="D85" s="12">
        <v>78</v>
      </c>
      <c r="E85" s="12">
        <v>1733.82203</v>
      </c>
      <c r="F85" s="11">
        <f>SUM(B85:E85)</f>
        <v>25263.045761999998</v>
      </c>
    </row>
    <row r="86" spans="1:6" x14ac:dyDescent="0.25">
      <c r="A86" s="71" t="s">
        <v>51</v>
      </c>
      <c r="B86" s="72"/>
      <c r="C86" s="72"/>
      <c r="D86" s="72"/>
      <c r="E86" s="72"/>
      <c r="F86" s="73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 x14ac:dyDescent="0.25">
      <c r="A92" s="71" t="s">
        <v>52</v>
      </c>
      <c r="B92" s="72"/>
      <c r="C92" s="72"/>
      <c r="D92" s="72"/>
      <c r="E92" s="72"/>
      <c r="F92" s="73"/>
    </row>
    <row r="93" spans="1:6" x14ac:dyDescent="0.25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 x14ac:dyDescent="0.25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 x14ac:dyDescent="0.25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 x14ac:dyDescent="0.25">
      <c r="A96" s="14" t="s">
        <v>49</v>
      </c>
      <c r="B96" s="24">
        <v>11</v>
      </c>
      <c r="C96" s="20">
        <v>0</v>
      </c>
      <c r="D96" s="20">
        <v>0</v>
      </c>
      <c r="E96" s="24">
        <v>8</v>
      </c>
      <c r="F96" s="28">
        <f>SUM(B96:E96)</f>
        <v>19</v>
      </c>
    </row>
    <row r="97" spans="1:7" x14ac:dyDescent="0.25">
      <c r="A97" s="14" t="s">
        <v>50</v>
      </c>
      <c r="B97" s="24">
        <v>186.368436</v>
      </c>
      <c r="C97" s="20">
        <v>0</v>
      </c>
      <c r="D97" s="20">
        <v>0</v>
      </c>
      <c r="E97" s="24">
        <v>100.69017700000001</v>
      </c>
      <c r="F97" s="11">
        <f>SUM(B97:E97)</f>
        <v>287.05861300000004</v>
      </c>
    </row>
    <row r="98" spans="1:7" x14ac:dyDescent="0.25">
      <c r="A98" s="83" t="s">
        <v>56</v>
      </c>
      <c r="B98" s="84"/>
      <c r="C98" s="84"/>
      <c r="D98" s="84"/>
      <c r="E98" s="84"/>
      <c r="F98" s="85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 x14ac:dyDescent="0.25">
      <c r="A102" s="18" t="s">
        <v>49</v>
      </c>
      <c r="B102" s="19">
        <f>+B96+B84</f>
        <v>1030</v>
      </c>
      <c r="C102" s="18">
        <v>117</v>
      </c>
      <c r="D102" s="19">
        <f>+D84</f>
        <v>6</v>
      </c>
      <c r="E102" s="47">
        <f>+E96+E84</f>
        <v>103</v>
      </c>
      <c r="F102" s="19">
        <f>SUM(B102:E102)</f>
        <v>1256</v>
      </c>
    </row>
    <row r="103" spans="1:7" x14ac:dyDescent="0.25">
      <c r="A103" s="18" t="s">
        <v>50</v>
      </c>
      <c r="B103" s="19">
        <f>+B97+B85</f>
        <v>22162.592167999999</v>
      </c>
      <c r="C103" s="18">
        <v>1475</v>
      </c>
      <c r="D103" s="19">
        <f>+D85</f>
        <v>78</v>
      </c>
      <c r="E103" s="45">
        <f>+E85+E97</f>
        <v>1834.512207</v>
      </c>
      <c r="F103" s="22">
        <f>SUM(B103:E103)</f>
        <v>25550.104374999999</v>
      </c>
    </row>
    <row r="104" spans="1:7" x14ac:dyDescent="0.25">
      <c r="A104" s="70"/>
      <c r="B104" s="70"/>
      <c r="C104" s="70"/>
      <c r="D104" s="70"/>
      <c r="E104" s="70"/>
      <c r="F104" s="70"/>
      <c r="G104" s="70"/>
    </row>
    <row r="105" spans="1:7" x14ac:dyDescent="0.25">
      <c r="A105" s="69" t="s">
        <v>57</v>
      </c>
      <c r="B105" s="69"/>
      <c r="C105" s="69"/>
      <c r="D105" s="69"/>
      <c r="E105" s="69"/>
      <c r="F105" s="69"/>
    </row>
    <row r="106" spans="1:7" x14ac:dyDescent="0.25">
      <c r="A106" s="74" t="s">
        <v>58</v>
      </c>
      <c r="B106" s="74"/>
      <c r="C106" s="74"/>
      <c r="D106" s="74"/>
      <c r="E106" s="74"/>
      <c r="F106" s="74"/>
    </row>
    <row r="107" spans="1:7" x14ac:dyDescent="0.25">
      <c r="A107" s="14" t="s">
        <v>59</v>
      </c>
      <c r="B107" s="13">
        <v>2.8686029606712378</v>
      </c>
      <c r="C107" s="13">
        <v>2.5499999999999998</v>
      </c>
      <c r="D107" s="14">
        <v>2.93</v>
      </c>
      <c r="E107" s="13">
        <v>2.54</v>
      </c>
      <c r="F107" s="13">
        <f>AVERAGE(B107:E107)</f>
        <v>2.7221507401678098</v>
      </c>
    </row>
    <row r="108" spans="1:7" x14ac:dyDescent="0.25">
      <c r="A108" s="14" t="s">
        <v>60</v>
      </c>
      <c r="B108" s="13">
        <v>2.7104026961628955</v>
      </c>
      <c r="C108" s="13">
        <v>2.65</v>
      </c>
      <c r="D108" s="14">
        <v>2.93</v>
      </c>
      <c r="E108" s="13">
        <v>2.66</v>
      </c>
      <c r="F108" s="13">
        <f>AVERAGE(B108:E108)</f>
        <v>2.7376006740407237</v>
      </c>
    </row>
    <row r="109" spans="1:7" x14ac:dyDescent="0.25">
      <c r="A109" s="14" t="s">
        <v>61</v>
      </c>
      <c r="B109" s="13">
        <v>2.5222226969637367</v>
      </c>
      <c r="C109" s="13">
        <v>2.65</v>
      </c>
      <c r="D109" s="14">
        <v>2.81</v>
      </c>
      <c r="E109" s="13">
        <v>2.69</v>
      </c>
      <c r="F109" s="13">
        <f>AVERAGE(B109:E109)</f>
        <v>2.668055674240934</v>
      </c>
    </row>
    <row r="110" spans="1:7" x14ac:dyDescent="0.25">
      <c r="A110" s="74" t="s">
        <v>62</v>
      </c>
      <c r="B110" s="74"/>
      <c r="C110" s="74"/>
      <c r="D110" s="74"/>
      <c r="E110" s="74"/>
      <c r="F110" s="74"/>
    </row>
    <row r="111" spans="1:7" x14ac:dyDescent="0.25">
      <c r="A111" s="14" t="s">
        <v>59</v>
      </c>
      <c r="B111" s="13">
        <v>2.3199999999999998</v>
      </c>
      <c r="C111" s="13">
        <v>1.95</v>
      </c>
      <c r="D111" s="14">
        <v>1.6</v>
      </c>
      <c r="E111" s="13">
        <v>1.99</v>
      </c>
      <c r="F111" s="13">
        <f>AVERAGE(B111:E111)</f>
        <v>1.9649999999999999</v>
      </c>
    </row>
    <row r="112" spans="1:7" x14ac:dyDescent="0.25">
      <c r="A112" s="14" t="s">
        <v>60</v>
      </c>
      <c r="B112" s="13">
        <v>2.1500000000000039</v>
      </c>
      <c r="C112" s="13">
        <v>2.16</v>
      </c>
      <c r="D112" s="14">
        <v>2.2000000000000002</v>
      </c>
      <c r="E112" s="13">
        <v>2.16</v>
      </c>
      <c r="F112" s="13">
        <f>AVERAGE(B112:E112)</f>
        <v>2.1675000000000013</v>
      </c>
    </row>
    <row r="113" spans="1:8" x14ac:dyDescent="0.25">
      <c r="A113" s="14" t="s">
        <v>61</v>
      </c>
      <c r="B113" s="13">
        <v>2.1468923611111266</v>
      </c>
      <c r="C113" s="13">
        <v>2.16</v>
      </c>
      <c r="D113" s="14">
        <v>2.2999999999999998</v>
      </c>
      <c r="E113" s="13">
        <v>2.19</v>
      </c>
      <c r="F113" s="13">
        <f>AVERAGE(B113:E113)</f>
        <v>2.1992230902777816</v>
      </c>
    </row>
    <row r="114" spans="1:8" x14ac:dyDescent="0.25">
      <c r="A114" s="70"/>
      <c r="B114" s="70"/>
      <c r="C114" s="70"/>
      <c r="D114" s="70"/>
      <c r="E114" s="70"/>
      <c r="F114" s="70"/>
      <c r="G114" s="70"/>
      <c r="H114" s="70"/>
    </row>
    <row r="115" spans="1:8" x14ac:dyDescent="0.25">
      <c r="A115" s="74" t="s">
        <v>63</v>
      </c>
      <c r="B115" s="74"/>
      <c r="C115" s="74"/>
      <c r="D115" s="74"/>
      <c r="E115" s="74"/>
      <c r="F115" s="74"/>
    </row>
    <row r="116" spans="1:8" x14ac:dyDescent="0.25">
      <c r="A116" s="14" t="s">
        <v>59</v>
      </c>
      <c r="B116" s="13">
        <v>1.5097012302284769</v>
      </c>
      <c r="C116" s="13">
        <v>1.79</v>
      </c>
      <c r="D116" s="20">
        <v>2.0699999999999998</v>
      </c>
      <c r="E116" s="13">
        <v>1.79</v>
      </c>
      <c r="F116" s="13">
        <f>AVERAGE(B116:E116)</f>
        <v>1.7899253075571193</v>
      </c>
    </row>
    <row r="117" spans="1:8" x14ac:dyDescent="0.25">
      <c r="A117" s="14" t="s">
        <v>60</v>
      </c>
      <c r="B117" s="13">
        <v>1.7576383763838161</v>
      </c>
      <c r="C117" s="13">
        <v>1.79</v>
      </c>
      <c r="D117" s="20">
        <v>2.0299999999999998</v>
      </c>
      <c r="E117" s="13">
        <v>1.79</v>
      </c>
      <c r="F117" s="13">
        <f>AVERAGE(B117:E117)</f>
        <v>1.841909594095954</v>
      </c>
    </row>
    <row r="118" spans="1:8" x14ac:dyDescent="0.25">
      <c r="A118" s="14" t="s">
        <v>61</v>
      </c>
      <c r="B118" s="13">
        <v>1.7549990947886129</v>
      </c>
      <c r="C118" s="13">
        <v>1.74</v>
      </c>
      <c r="D118" s="20">
        <v>2.29</v>
      </c>
      <c r="E118" s="13">
        <v>1.99</v>
      </c>
      <c r="F118" s="13">
        <f>AVERAGE(B118:E118)</f>
        <v>1.9437497736971534</v>
      </c>
    </row>
    <row r="119" spans="1:8" x14ac:dyDescent="0.25">
      <c r="A119" s="71" t="s">
        <v>64</v>
      </c>
      <c r="B119" s="72"/>
      <c r="C119" s="72"/>
      <c r="D119" s="72"/>
      <c r="E119" s="72"/>
      <c r="F119" s="73"/>
    </row>
    <row r="120" spans="1:8" x14ac:dyDescent="0.25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0</v>
      </c>
      <c r="C121" s="13">
        <v>1.43</v>
      </c>
      <c r="D121" s="14">
        <v>1.34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14">
        <v>1.92</v>
      </c>
      <c r="E122" s="13">
        <v>1.74</v>
      </c>
      <c r="F122" s="13">
        <f>AVERAGE(B122:E122)</f>
        <v>1.63</v>
      </c>
    </row>
    <row r="123" spans="1:8" x14ac:dyDescent="0.25">
      <c r="A123" s="70"/>
      <c r="B123" s="70"/>
      <c r="C123" s="70"/>
      <c r="D123" s="70"/>
      <c r="E123" s="70"/>
      <c r="F123" s="70"/>
      <c r="G123" s="70"/>
    </row>
    <row r="124" spans="1:8" x14ac:dyDescent="0.25">
      <c r="A124" s="75" t="s">
        <v>65</v>
      </c>
      <c r="B124" s="76"/>
      <c r="C124" s="76"/>
      <c r="D124" s="76"/>
      <c r="E124" s="76"/>
      <c r="F124" s="77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75" t="s">
        <v>67</v>
      </c>
      <c r="B126" s="76"/>
      <c r="C126" s="76"/>
      <c r="D126" s="76"/>
      <c r="E126" s="76"/>
      <c r="F126" s="77"/>
    </row>
    <row r="127" spans="1:8" x14ac:dyDescent="0.25">
      <c r="A127" s="3" t="s">
        <v>68</v>
      </c>
      <c r="B127" s="13">
        <v>1.79</v>
      </c>
      <c r="C127" s="39">
        <v>2.0509590000000002</v>
      </c>
      <c r="D127" s="34">
        <v>2.2103454795258282</v>
      </c>
      <c r="E127" s="4">
        <v>0</v>
      </c>
      <c r="F127" s="11">
        <f>AVERAGE(B127:E127)</f>
        <v>1.5128261198814572</v>
      </c>
    </row>
    <row r="128" spans="1:8" x14ac:dyDescent="0.25">
      <c r="A128" s="82"/>
      <c r="B128" s="82"/>
      <c r="C128" s="82"/>
      <c r="D128" s="82"/>
      <c r="E128" s="82"/>
      <c r="F128" s="82"/>
      <c r="G128" s="82"/>
    </row>
    <row r="129" spans="1:8" x14ac:dyDescent="0.25">
      <c r="A129" s="69" t="s">
        <v>69</v>
      </c>
      <c r="B129" s="69"/>
      <c r="C129" s="69"/>
      <c r="D129" s="69"/>
      <c r="E129" s="69"/>
      <c r="F129" s="69"/>
    </row>
    <row r="130" spans="1:8" x14ac:dyDescent="0.25">
      <c r="A130" s="14" t="s">
        <v>70</v>
      </c>
      <c r="B130" s="28">
        <v>237589</v>
      </c>
      <c r="C130" s="28">
        <v>3448</v>
      </c>
      <c r="D130" s="28">
        <v>8552</v>
      </c>
      <c r="E130" s="28">
        <v>793</v>
      </c>
      <c r="F130" s="28">
        <f>SUM(B130:E130)</f>
        <v>250382</v>
      </c>
    </row>
    <row r="131" spans="1:8" x14ac:dyDescent="0.25">
      <c r="A131" s="14" t="s">
        <v>71</v>
      </c>
      <c r="B131" s="28">
        <v>159678.204451</v>
      </c>
      <c r="C131" s="28">
        <v>3832</v>
      </c>
      <c r="D131" s="28">
        <v>1059</v>
      </c>
      <c r="E131" s="28">
        <v>744.99373900000001</v>
      </c>
      <c r="F131" s="11">
        <f>SUM(B131:E131)</f>
        <v>165314.19819</v>
      </c>
    </row>
    <row r="132" spans="1:8" x14ac:dyDescent="0.25">
      <c r="A132" s="70"/>
      <c r="B132" s="70"/>
      <c r="C132" s="70"/>
      <c r="D132" s="70"/>
      <c r="E132" s="70"/>
      <c r="F132" s="70"/>
      <c r="G132" s="70"/>
    </row>
    <row r="133" spans="1:8" x14ac:dyDescent="0.25">
      <c r="A133" s="69" t="s">
        <v>72</v>
      </c>
      <c r="B133" s="69"/>
      <c r="C133" s="69"/>
      <c r="D133" s="69"/>
      <c r="E133" s="69"/>
      <c r="F133" s="69"/>
    </row>
    <row r="134" spans="1:8" x14ac:dyDescent="0.25">
      <c r="A134" s="14" t="s">
        <v>73</v>
      </c>
      <c r="B134" s="28">
        <v>761993</v>
      </c>
      <c r="C134" s="28">
        <v>366658</v>
      </c>
      <c r="D134" s="28">
        <v>125859</v>
      </c>
      <c r="E134" s="28">
        <v>290470</v>
      </c>
      <c r="F134" s="28">
        <f>SUM(B134:E134)</f>
        <v>1544980</v>
      </c>
    </row>
    <row r="135" spans="1:8" x14ac:dyDescent="0.25">
      <c r="A135" s="70"/>
      <c r="B135" s="70"/>
      <c r="C135" s="70"/>
      <c r="D135" s="70"/>
      <c r="E135" s="70"/>
      <c r="F135" s="70"/>
      <c r="G135" s="70"/>
    </row>
    <row r="136" spans="1:8" ht="21" x14ac:dyDescent="0.35">
      <c r="A136" s="78" t="s">
        <v>74</v>
      </c>
      <c r="B136" s="78"/>
      <c r="C136" s="78"/>
      <c r="D136" s="78"/>
      <c r="E136" s="78"/>
      <c r="F136" s="78"/>
    </row>
    <row r="137" spans="1:8" x14ac:dyDescent="0.25">
      <c r="A137" s="69" t="s">
        <v>75</v>
      </c>
      <c r="B137" s="69"/>
      <c r="C137" s="69"/>
      <c r="D137" s="69"/>
      <c r="E137" s="69"/>
      <c r="F137" s="69"/>
    </row>
    <row r="138" spans="1:8" x14ac:dyDescent="0.25">
      <c r="A138" s="14" t="s">
        <v>76</v>
      </c>
      <c r="B138" s="28">
        <v>0</v>
      </c>
      <c r="C138" s="28">
        <v>0</v>
      </c>
      <c r="D138" s="28">
        <v>0</v>
      </c>
      <c r="E138" s="28">
        <v>15460</v>
      </c>
      <c r="F138" s="28">
        <f>SUM(B138:E138)</f>
        <v>15460</v>
      </c>
      <c r="G138" s="7"/>
      <c r="H138" s="7"/>
    </row>
    <row r="139" spans="1:8" x14ac:dyDescent="0.25">
      <c r="A139" s="14" t="s">
        <v>77</v>
      </c>
      <c r="B139" s="28">
        <v>0</v>
      </c>
      <c r="C139" s="28">
        <v>0</v>
      </c>
      <c r="D139" s="28">
        <v>0</v>
      </c>
      <c r="E139" s="28">
        <v>255</v>
      </c>
      <c r="F139" s="28">
        <f>SUM(B139:E139)</f>
        <v>255</v>
      </c>
      <c r="G139" s="7"/>
      <c r="H139" s="7"/>
    </row>
    <row r="140" spans="1:8" x14ac:dyDescent="0.25">
      <c r="A140" s="70"/>
      <c r="B140" s="70"/>
      <c r="C140" s="70"/>
      <c r="D140" s="70"/>
      <c r="E140" s="70"/>
      <c r="F140" s="70"/>
      <c r="G140" s="70"/>
      <c r="H140" s="7"/>
    </row>
    <row r="141" spans="1:8" x14ac:dyDescent="0.25">
      <c r="A141" s="70"/>
      <c r="B141" s="70"/>
      <c r="C141" s="70"/>
      <c r="D141" s="70"/>
      <c r="E141" s="70"/>
      <c r="F141" s="70"/>
      <c r="G141" s="70"/>
    </row>
    <row r="142" spans="1:8" ht="21" x14ac:dyDescent="0.35">
      <c r="A142" s="79" t="s">
        <v>78</v>
      </c>
      <c r="B142" s="80"/>
      <c r="C142" s="80"/>
      <c r="D142" s="80"/>
      <c r="E142" s="80"/>
      <c r="F142" s="81"/>
    </row>
    <row r="143" spans="1:8" x14ac:dyDescent="0.25">
      <c r="A143" s="75" t="s">
        <v>79</v>
      </c>
      <c r="B143" s="76"/>
      <c r="C143" s="76"/>
      <c r="D143" s="76"/>
      <c r="E143" s="76"/>
      <c r="F143" s="77"/>
    </row>
    <row r="144" spans="1:8" x14ac:dyDescent="0.25">
      <c r="A144" s="70"/>
      <c r="B144" s="70"/>
      <c r="C144" s="70"/>
      <c r="D144" s="70"/>
      <c r="E144" s="70"/>
      <c r="F144" s="70"/>
      <c r="G144" s="70"/>
    </row>
    <row r="145" spans="1:7" x14ac:dyDescent="0.25">
      <c r="A145" s="74" t="s">
        <v>80</v>
      </c>
      <c r="B145" s="74"/>
      <c r="C145" s="74"/>
      <c r="D145" s="74"/>
      <c r="E145" s="74"/>
      <c r="F145" s="74"/>
    </row>
    <row r="146" spans="1:7" x14ac:dyDescent="0.25">
      <c r="A146" s="14" t="s">
        <v>81</v>
      </c>
      <c r="B146" s="28">
        <v>0</v>
      </c>
      <c r="C146" s="28">
        <v>972</v>
      </c>
      <c r="D146" s="28">
        <v>0</v>
      </c>
      <c r="E146" s="1">
        <v>749</v>
      </c>
      <c r="F146" s="28">
        <f>SUM(B146:E146)</f>
        <v>1721</v>
      </c>
    </row>
    <row r="147" spans="1:7" x14ac:dyDescent="0.25">
      <c r="A147" s="14" t="s">
        <v>82</v>
      </c>
      <c r="B147" s="28">
        <v>0</v>
      </c>
      <c r="C147" s="28">
        <v>21.942</v>
      </c>
      <c r="D147" s="28">
        <v>0</v>
      </c>
      <c r="E147" s="30">
        <v>8.2457499999999992</v>
      </c>
      <c r="F147" s="11">
        <f>SUM(B147:E147)</f>
        <v>30.187750000000001</v>
      </c>
    </row>
    <row r="148" spans="1:7" x14ac:dyDescent="0.25">
      <c r="A148" s="70"/>
      <c r="B148" s="70"/>
      <c r="C148" s="70"/>
      <c r="D148" s="70"/>
      <c r="E148" s="70"/>
      <c r="F148" s="70"/>
      <c r="G148" s="70"/>
    </row>
    <row r="149" spans="1:7" x14ac:dyDescent="0.25">
      <c r="A149" s="74" t="s">
        <v>83</v>
      </c>
      <c r="B149" s="74"/>
      <c r="C149" s="74"/>
      <c r="D149" s="74"/>
      <c r="E149" s="74"/>
      <c r="F149" s="74"/>
    </row>
    <row r="150" spans="1:7" x14ac:dyDescent="0.25">
      <c r="A150" s="14" t="s">
        <v>84</v>
      </c>
      <c r="B150" s="28">
        <v>0</v>
      </c>
      <c r="C150" s="37">
        <v>5</v>
      </c>
      <c r="D150" s="28">
        <v>0</v>
      </c>
      <c r="E150" s="28">
        <v>0</v>
      </c>
      <c r="F150" s="28">
        <f>SUM(B150:E150)</f>
        <v>5</v>
      </c>
      <c r="G150"/>
    </row>
    <row r="151" spans="1:7" x14ac:dyDescent="0.25">
      <c r="A151" s="14" t="s">
        <v>85</v>
      </c>
      <c r="B151" s="28">
        <v>0</v>
      </c>
      <c r="C151" s="57">
        <v>0.37</v>
      </c>
      <c r="D151" s="28">
        <v>0</v>
      </c>
      <c r="E151" s="28">
        <v>0</v>
      </c>
      <c r="F151" s="11">
        <f>SUM(B151:E151)</f>
        <v>0.37</v>
      </c>
      <c r="G151"/>
    </row>
    <row r="152" spans="1:7" x14ac:dyDescent="0.25">
      <c r="A152" s="70"/>
      <c r="B152" s="70"/>
      <c r="C152" s="70"/>
      <c r="D152" s="70"/>
      <c r="E152" s="70"/>
      <c r="F152" s="70"/>
      <c r="G152" s="70"/>
    </row>
    <row r="153" spans="1:7" x14ac:dyDescent="0.25">
      <c r="A153" s="74" t="s">
        <v>86</v>
      </c>
      <c r="B153" s="74"/>
      <c r="C153" s="74"/>
      <c r="D153" s="74"/>
      <c r="E153" s="74"/>
      <c r="F153" s="74"/>
    </row>
    <row r="154" spans="1:7" x14ac:dyDescent="0.25">
      <c r="A154" s="14" t="s">
        <v>87</v>
      </c>
      <c r="B154" s="14">
        <v>0</v>
      </c>
      <c r="C154" s="28">
        <v>7445</v>
      </c>
      <c r="D154" s="36">
        <v>0</v>
      </c>
      <c r="E154" s="35">
        <v>0</v>
      </c>
      <c r="F154" s="28">
        <f>SUM(B154:E154)</f>
        <v>7445</v>
      </c>
      <c r="G154"/>
    </row>
    <row r="155" spans="1:7" x14ac:dyDescent="0.25">
      <c r="A155" s="14" t="s">
        <v>88</v>
      </c>
      <c r="B155" s="11">
        <v>0</v>
      </c>
      <c r="C155" s="28">
        <v>104.59912</v>
      </c>
      <c r="D155" s="36">
        <v>0</v>
      </c>
      <c r="E155" s="35">
        <v>0</v>
      </c>
      <c r="F155" s="11">
        <f>SUM(B155:E155)</f>
        <v>104.59912</v>
      </c>
      <c r="G155"/>
    </row>
    <row r="156" spans="1:7" x14ac:dyDescent="0.25">
      <c r="A156" s="70"/>
      <c r="B156" s="70"/>
      <c r="C156" s="70"/>
      <c r="D156" s="70"/>
      <c r="E156" s="70"/>
      <c r="F156" s="70"/>
      <c r="G156" s="70"/>
    </row>
    <row r="157" spans="1:7" x14ac:dyDescent="0.25">
      <c r="A157" s="71" t="s">
        <v>89</v>
      </c>
      <c r="B157" s="72"/>
      <c r="C157" s="72"/>
      <c r="D157" s="72"/>
      <c r="E157" s="72"/>
      <c r="F157" s="73"/>
    </row>
    <row r="158" spans="1:7" x14ac:dyDescent="0.25">
      <c r="A158" s="18" t="s">
        <v>90</v>
      </c>
      <c r="B158" s="19">
        <v>0</v>
      </c>
      <c r="C158" s="19">
        <f>C146+C150+C154</f>
        <v>8422</v>
      </c>
      <c r="D158" s="19">
        <v>0</v>
      </c>
      <c r="E158" s="19">
        <f>E146+E154</f>
        <v>749</v>
      </c>
      <c r="F158" s="19">
        <f>SUM(B158:E158)</f>
        <v>9171</v>
      </c>
    </row>
    <row r="159" spans="1:7" x14ac:dyDescent="0.25">
      <c r="A159" s="18" t="s">
        <v>91</v>
      </c>
      <c r="B159" s="19">
        <v>0</v>
      </c>
      <c r="C159" s="19">
        <f>C147+C151+C155</f>
        <v>126.91112</v>
      </c>
      <c r="D159" s="19">
        <v>0</v>
      </c>
      <c r="E159" s="19">
        <f>E147+E155</f>
        <v>8.2457499999999992</v>
      </c>
      <c r="F159" s="22">
        <f>SUM(B159:E159)</f>
        <v>135.15687</v>
      </c>
    </row>
    <row r="160" spans="1:7" x14ac:dyDescent="0.25">
      <c r="A160" s="70"/>
      <c r="B160" s="70"/>
      <c r="C160" s="70"/>
      <c r="D160" s="70"/>
      <c r="E160" s="70"/>
      <c r="F160" s="70"/>
      <c r="G160" s="70"/>
    </row>
    <row r="161" spans="1:7" x14ac:dyDescent="0.25">
      <c r="A161" s="69" t="s">
        <v>92</v>
      </c>
      <c r="B161" s="69"/>
      <c r="C161" s="69"/>
      <c r="D161" s="69"/>
      <c r="E161" s="69"/>
      <c r="F161" s="69"/>
    </row>
    <row r="162" spans="1:7" x14ac:dyDescent="0.25">
      <c r="A162" s="14" t="s">
        <v>87</v>
      </c>
      <c r="B162" s="28">
        <v>3376</v>
      </c>
      <c r="C162" s="28">
        <v>32833</v>
      </c>
      <c r="D162" s="28">
        <v>4052</v>
      </c>
      <c r="E162" s="28">
        <v>24974</v>
      </c>
      <c r="F162" s="28">
        <f>SUM(B162:E162)</f>
        <v>65235</v>
      </c>
    </row>
    <row r="163" spans="1:7" x14ac:dyDescent="0.25">
      <c r="A163" s="14" t="s">
        <v>88</v>
      </c>
      <c r="B163" s="28">
        <f>77075954/1000000</f>
        <v>77.075953999999996</v>
      </c>
      <c r="C163" s="28">
        <v>194.849276</v>
      </c>
      <c r="D163" s="28">
        <v>68</v>
      </c>
      <c r="E163" s="28">
        <v>160.58366000000001</v>
      </c>
      <c r="F163" s="11">
        <f>SUM(B163:E163)</f>
        <v>500.50889000000001</v>
      </c>
    </row>
    <row r="164" spans="1:7" x14ac:dyDescent="0.25">
      <c r="A164" s="70"/>
      <c r="B164" s="70"/>
      <c r="C164" s="70"/>
      <c r="D164" s="70"/>
      <c r="E164" s="70"/>
      <c r="F164" s="70"/>
    </row>
    <row r="165" spans="1:7" x14ac:dyDescent="0.25">
      <c r="A165" s="75" t="s">
        <v>93</v>
      </c>
      <c r="B165" s="76"/>
      <c r="C165" s="76"/>
      <c r="D165" s="76"/>
      <c r="E165" s="76"/>
      <c r="F165" s="77"/>
    </row>
    <row r="166" spans="1:7" x14ac:dyDescent="0.25">
      <c r="A166" s="71" t="s">
        <v>94</v>
      </c>
      <c r="B166" s="72"/>
      <c r="C166" s="72"/>
      <c r="D166" s="72"/>
      <c r="E166" s="72"/>
      <c r="F166" s="73"/>
    </row>
    <row r="167" spans="1:7" x14ac:dyDescent="0.25">
      <c r="A167" s="14" t="s">
        <v>95</v>
      </c>
      <c r="B167" s="28">
        <v>305</v>
      </c>
      <c r="C167" s="28">
        <v>3476</v>
      </c>
      <c r="D167" s="28">
        <v>68</v>
      </c>
      <c r="E167" s="28">
        <v>542</v>
      </c>
      <c r="F167" s="28">
        <f>SUM(B167:E167)</f>
        <v>4391</v>
      </c>
    </row>
    <row r="168" spans="1:7" x14ac:dyDescent="0.25">
      <c r="A168" s="14" t="s">
        <v>96</v>
      </c>
      <c r="B168" s="28">
        <f>7625000/1000000</f>
        <v>7.625</v>
      </c>
      <c r="C168" s="28">
        <v>80.021000000000001</v>
      </c>
      <c r="D168" s="28">
        <v>1.7</v>
      </c>
      <c r="E168" s="28">
        <v>19.239999999999998</v>
      </c>
      <c r="F168" s="11">
        <f>SUM(B168:E168)</f>
        <v>108.586</v>
      </c>
    </row>
    <row r="169" spans="1:7" x14ac:dyDescent="0.25">
      <c r="A169" s="70"/>
      <c r="B169" s="70"/>
      <c r="C169" s="70"/>
      <c r="D169" s="70"/>
      <c r="E169" s="70"/>
      <c r="F169" s="70"/>
    </row>
    <row r="170" spans="1:7" x14ac:dyDescent="0.25">
      <c r="A170" s="71" t="s">
        <v>97</v>
      </c>
      <c r="B170" s="72"/>
      <c r="C170" s="72"/>
      <c r="D170" s="72"/>
      <c r="E170" s="72"/>
      <c r="F170" s="73"/>
    </row>
    <row r="171" spans="1:7" x14ac:dyDescent="0.25">
      <c r="A171" s="14" t="s">
        <v>98</v>
      </c>
      <c r="B171" s="28">
        <v>1606</v>
      </c>
      <c r="C171" s="28">
        <v>618</v>
      </c>
      <c r="D171" s="28">
        <v>134</v>
      </c>
      <c r="E171" s="28">
        <v>427</v>
      </c>
      <c r="F171" s="28">
        <f>SUM(B171:E171)</f>
        <v>2785</v>
      </c>
    </row>
    <row r="172" spans="1:7" x14ac:dyDescent="0.25">
      <c r="A172" s="14" t="s">
        <v>96</v>
      </c>
      <c r="B172" s="28">
        <f>35332000/1000000</f>
        <v>35.332000000000001</v>
      </c>
      <c r="C172" s="28">
        <v>13.103999999999999</v>
      </c>
      <c r="D172" s="28">
        <v>3.35</v>
      </c>
      <c r="E172" s="28">
        <v>9.3490000000000002</v>
      </c>
      <c r="F172" s="11">
        <f>SUM(B172:E172)</f>
        <v>61.135000000000005</v>
      </c>
    </row>
    <row r="173" spans="1:7" x14ac:dyDescent="0.25">
      <c r="A173" s="70"/>
      <c r="B173" s="70"/>
      <c r="C173" s="70"/>
      <c r="D173" s="70"/>
      <c r="E173" s="70"/>
      <c r="F173" s="70"/>
      <c r="G173" s="70"/>
    </row>
    <row r="174" spans="1:7" x14ac:dyDescent="0.25">
      <c r="A174" s="71" t="s">
        <v>99</v>
      </c>
      <c r="B174" s="72"/>
      <c r="C174" s="72"/>
      <c r="D174" s="72"/>
      <c r="E174" s="72"/>
      <c r="F174" s="73"/>
    </row>
    <row r="175" spans="1:7" x14ac:dyDescent="0.25">
      <c r="A175" s="14" t="s">
        <v>98</v>
      </c>
      <c r="B175" s="28">
        <v>220</v>
      </c>
      <c r="C175" s="28">
        <v>403</v>
      </c>
      <c r="D175" s="28">
        <v>138</v>
      </c>
      <c r="E175" s="28">
        <v>34</v>
      </c>
      <c r="F175" s="28">
        <f>SUM(B175:E175)</f>
        <v>795</v>
      </c>
    </row>
    <row r="176" spans="1:7" x14ac:dyDescent="0.25">
      <c r="A176" s="14" t="s">
        <v>96</v>
      </c>
      <c r="B176" s="28">
        <f>15400000/1000000</f>
        <v>15.4</v>
      </c>
      <c r="C176" s="28">
        <v>42.88</v>
      </c>
      <c r="D176" s="28">
        <v>7.8</v>
      </c>
      <c r="E176" s="28">
        <v>3.48</v>
      </c>
      <c r="F176" s="11">
        <f>SUM(B176:E176)</f>
        <v>69.56</v>
      </c>
    </row>
    <row r="177" spans="1:7" x14ac:dyDescent="0.25">
      <c r="A177" s="70"/>
      <c r="B177" s="70"/>
      <c r="C177" s="70"/>
      <c r="D177" s="70"/>
      <c r="E177" s="70"/>
      <c r="F177" s="70"/>
      <c r="G177" s="70"/>
    </row>
    <row r="178" spans="1:7" x14ac:dyDescent="0.25">
      <c r="A178" s="71" t="s">
        <v>100</v>
      </c>
      <c r="B178" s="72"/>
      <c r="C178" s="72"/>
      <c r="D178" s="72"/>
      <c r="E178" s="72"/>
      <c r="F178" s="73"/>
    </row>
    <row r="179" spans="1:7" x14ac:dyDescent="0.25">
      <c r="A179" s="14" t="s">
        <v>98</v>
      </c>
      <c r="B179" s="28">
        <v>313</v>
      </c>
      <c r="C179" s="28">
        <v>198891</v>
      </c>
      <c r="D179" s="28">
        <v>0</v>
      </c>
      <c r="E179" s="28">
        <v>0</v>
      </c>
      <c r="F179" s="28">
        <f>SUM(B179:E179)</f>
        <v>199204</v>
      </c>
    </row>
    <row r="180" spans="1:7" x14ac:dyDescent="0.25">
      <c r="A180" s="14" t="s">
        <v>96</v>
      </c>
      <c r="B180" s="28">
        <f>9600000/1000000</f>
        <v>9.6</v>
      </c>
      <c r="C180" s="28">
        <v>2904.5739744532002</v>
      </c>
      <c r="D180" s="28">
        <v>0</v>
      </c>
      <c r="E180" s="28">
        <v>0</v>
      </c>
      <c r="F180" s="11">
        <f>SUM(B180:E180)</f>
        <v>2914.1739744532001</v>
      </c>
    </row>
    <row r="181" spans="1:7" x14ac:dyDescent="0.25">
      <c r="A181" s="70"/>
      <c r="B181" s="70"/>
      <c r="C181" s="70"/>
      <c r="D181" s="70"/>
      <c r="E181" s="70"/>
      <c r="F181" s="70"/>
      <c r="G181" s="70"/>
    </row>
    <row r="182" spans="1:7" x14ac:dyDescent="0.25">
      <c r="A182" s="69" t="s">
        <v>101</v>
      </c>
      <c r="B182" s="69"/>
      <c r="C182" s="69"/>
      <c r="D182" s="69"/>
      <c r="E182" s="69"/>
      <c r="F182" s="69"/>
    </row>
    <row r="183" spans="1:7" x14ac:dyDescent="0.25">
      <c r="A183" s="18" t="s">
        <v>102</v>
      </c>
      <c r="B183" s="19">
        <f>+B179+B175+B171+B167</f>
        <v>2444</v>
      </c>
      <c r="C183" s="46">
        <v>203388</v>
      </c>
      <c r="D183" s="19">
        <v>340</v>
      </c>
      <c r="E183" s="19">
        <f>+E179+E175+E171+E167</f>
        <v>1003</v>
      </c>
      <c r="F183" s="19">
        <f>SUM(B183:E183)</f>
        <v>207175</v>
      </c>
    </row>
    <row r="184" spans="1:7" x14ac:dyDescent="0.25">
      <c r="A184" s="18" t="s">
        <v>103</v>
      </c>
      <c r="B184" s="19">
        <f>+B180+B176+B172+B168</f>
        <v>67.956999999999994</v>
      </c>
      <c r="C184" s="46">
        <v>3040.5789744532003</v>
      </c>
      <c r="D184" s="19">
        <v>12.85</v>
      </c>
      <c r="E184" s="19">
        <f>+E180+E176+E172+E168</f>
        <v>32.069000000000003</v>
      </c>
      <c r="F184" s="22">
        <f>SUM(B184:E184)</f>
        <v>3153.4549744532001</v>
      </c>
    </row>
    <row r="185" spans="1:7" x14ac:dyDescent="0.25">
      <c r="A185" s="70"/>
      <c r="B185" s="70"/>
      <c r="C185" s="70"/>
      <c r="D185" s="70"/>
      <c r="E185" s="70"/>
      <c r="F185" s="70"/>
      <c r="G185" s="70"/>
    </row>
    <row r="186" spans="1:7" x14ac:dyDescent="0.25">
      <c r="A186" s="69" t="s">
        <v>104</v>
      </c>
      <c r="B186" s="69"/>
      <c r="C186" s="69"/>
      <c r="D186" s="69"/>
      <c r="E186" s="69"/>
      <c r="F186" s="69"/>
    </row>
    <row r="187" spans="1:7" x14ac:dyDescent="0.25">
      <c r="A187" s="14" t="s">
        <v>105</v>
      </c>
      <c r="B187" s="28">
        <v>3978</v>
      </c>
      <c r="C187" s="28">
        <v>7445</v>
      </c>
      <c r="D187" s="28">
        <v>75</v>
      </c>
      <c r="E187" s="28">
        <f>E166+E171+E175+E179+E162</f>
        <v>25435</v>
      </c>
      <c r="F187" s="28">
        <f>SUM(B187:E187)</f>
        <v>36933</v>
      </c>
    </row>
    <row r="188" spans="1:7" x14ac:dyDescent="0.25">
      <c r="A188" s="14" t="s">
        <v>106</v>
      </c>
      <c r="B188" s="28">
        <f>33122335/1000000</f>
        <v>33.122335</v>
      </c>
      <c r="C188" s="28">
        <v>104.59912</v>
      </c>
      <c r="D188" s="28">
        <v>2.9</v>
      </c>
      <c r="E188" s="28">
        <f>E167+E172+E176+E180+E163</f>
        <v>715.41266000000007</v>
      </c>
      <c r="F188" s="11">
        <f>SUM(B188:E188)</f>
        <v>856.03411500000004</v>
      </c>
    </row>
    <row r="189" spans="1:7" x14ac:dyDescent="0.25">
      <c r="A189" s="70"/>
      <c r="B189" s="70"/>
      <c r="C189" s="70"/>
      <c r="D189" s="70"/>
      <c r="E189" s="70"/>
      <c r="F189" s="70"/>
      <c r="G189" s="70"/>
    </row>
    <row r="190" spans="1:7" x14ac:dyDescent="0.25">
      <c r="A190" s="69" t="s">
        <v>107</v>
      </c>
      <c r="B190" s="69"/>
      <c r="C190" s="69"/>
      <c r="D190" s="69"/>
      <c r="E190" s="69"/>
      <c r="F190" s="69"/>
    </row>
    <row r="191" spans="1:7" x14ac:dyDescent="0.25">
      <c r="A191" s="18" t="s">
        <v>108</v>
      </c>
      <c r="B191" s="19">
        <f>B187+B162+B183</f>
        <v>9798</v>
      </c>
      <c r="C191" s="46">
        <v>252088</v>
      </c>
      <c r="D191" s="19">
        <v>4467</v>
      </c>
      <c r="E191" s="19">
        <f>E158+E162+E183+E187</f>
        <v>52161</v>
      </c>
      <c r="F191" s="19">
        <f>SUM(B191:E191)</f>
        <v>318514</v>
      </c>
    </row>
    <row r="192" spans="1:7" x14ac:dyDescent="0.25">
      <c r="A192" s="18" t="s">
        <v>109</v>
      </c>
      <c r="B192" s="19">
        <f>B188+B163+B184</f>
        <v>178.15528899999998</v>
      </c>
      <c r="C192" s="46">
        <v>3466.9384904532003</v>
      </c>
      <c r="D192" s="19">
        <v>83.75</v>
      </c>
      <c r="E192" s="19">
        <f>E159+E184+E163+E188</f>
        <v>916.31107000000009</v>
      </c>
      <c r="F192" s="22">
        <f>SUM(B192:E192)</f>
        <v>4645.1548494531999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  <ignoredErrors>
    <ignoredError sqref="F10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063E-7F6B-4E87-B260-6F48B21DAAB4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90" t="s">
        <v>1</v>
      </c>
      <c r="C2" s="91"/>
      <c r="D2" s="91"/>
      <c r="E2" s="91"/>
      <c r="F2" s="92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79" t="s">
        <v>7</v>
      </c>
      <c r="B4" s="80"/>
      <c r="C4" s="80"/>
      <c r="D4" s="80"/>
      <c r="E4" s="80"/>
      <c r="F4" s="81"/>
    </row>
    <row r="5" spans="1:6" x14ac:dyDescent="0.25">
      <c r="A5" s="75" t="s">
        <v>8</v>
      </c>
      <c r="B5" s="76"/>
      <c r="C5" s="76"/>
      <c r="D5" s="76"/>
      <c r="E5" s="76"/>
      <c r="F5" s="77"/>
    </row>
    <row r="6" spans="1:6" x14ac:dyDescent="0.25">
      <c r="A6" s="4" t="s">
        <v>9</v>
      </c>
      <c r="B6" s="12">
        <v>55121</v>
      </c>
      <c r="C6" s="12">
        <v>8159</v>
      </c>
      <c r="D6" s="12">
        <v>8514</v>
      </c>
      <c r="E6" s="12">
        <v>10089</v>
      </c>
      <c r="F6" s="12">
        <f>+E6+D6+C6+B6</f>
        <v>81883</v>
      </c>
    </row>
    <row r="7" spans="1:6" x14ac:dyDescent="0.25">
      <c r="A7" s="14" t="s">
        <v>10</v>
      </c>
      <c r="B7" s="12">
        <v>537</v>
      </c>
      <c r="C7" s="12">
        <v>254</v>
      </c>
      <c r="D7" s="12">
        <v>12</v>
      </c>
      <c r="E7" s="12">
        <v>146</v>
      </c>
      <c r="F7" s="12">
        <f>+E7+D7+C7+B7</f>
        <v>949</v>
      </c>
    </row>
    <row r="8" spans="1:6" x14ac:dyDescent="0.25">
      <c r="A8" s="18" t="s">
        <v>11</v>
      </c>
      <c r="B8" s="25">
        <f>SUM(B6:B7)</f>
        <v>55658</v>
      </c>
      <c r="C8" s="25">
        <f>+C6+C7</f>
        <v>8413</v>
      </c>
      <c r="D8" s="25">
        <v>8526</v>
      </c>
      <c r="E8" s="25">
        <v>10235</v>
      </c>
      <c r="F8" s="25">
        <f>+E8+D8+C8+B8</f>
        <v>82832</v>
      </c>
    </row>
    <row r="9" spans="1:6" x14ac:dyDescent="0.25">
      <c r="A9" s="70"/>
      <c r="B9" s="70"/>
      <c r="C9" s="70"/>
      <c r="D9" s="70"/>
      <c r="E9" s="70"/>
      <c r="F9" s="70"/>
    </row>
    <row r="10" spans="1:6" x14ac:dyDescent="0.25">
      <c r="A10" s="75" t="s">
        <v>12</v>
      </c>
      <c r="B10" s="76"/>
      <c r="C10" s="76"/>
      <c r="D10" s="76"/>
      <c r="E10" s="76"/>
      <c r="F10" s="77"/>
    </row>
    <row r="11" spans="1:6" x14ac:dyDescent="0.25">
      <c r="A11" s="71" t="s">
        <v>13</v>
      </c>
      <c r="B11" s="72"/>
      <c r="C11" s="72"/>
      <c r="D11" s="72"/>
      <c r="E11" s="72"/>
      <c r="F11" s="73"/>
    </row>
    <row r="12" spans="1:6" x14ac:dyDescent="0.25">
      <c r="A12" s="16" t="s">
        <v>14</v>
      </c>
      <c r="B12" s="12">
        <v>823102</v>
      </c>
      <c r="C12" s="12">
        <v>115095</v>
      </c>
      <c r="D12" s="12">
        <v>45692</v>
      </c>
      <c r="E12" s="17">
        <v>0</v>
      </c>
      <c r="F12" s="17">
        <f>SUM(B12:E12)</f>
        <v>983889</v>
      </c>
    </row>
    <row r="13" spans="1:6" x14ac:dyDescent="0.25">
      <c r="A13" s="16" t="s">
        <v>15</v>
      </c>
      <c r="B13" s="12">
        <v>2378941</v>
      </c>
      <c r="C13" s="12">
        <v>546214</v>
      </c>
      <c r="D13" s="12">
        <v>232494</v>
      </c>
      <c r="E13" s="17">
        <v>0</v>
      </c>
      <c r="F13" s="17">
        <f>SUM(B13:E13)</f>
        <v>3157649</v>
      </c>
    </row>
    <row r="14" spans="1:6" x14ac:dyDescent="0.25">
      <c r="A14" s="18" t="s">
        <v>16</v>
      </c>
      <c r="B14" s="25">
        <f>B13+B12</f>
        <v>3202043</v>
      </c>
      <c r="C14" s="25">
        <v>1006724</v>
      </c>
      <c r="D14" s="25">
        <v>278186</v>
      </c>
      <c r="E14" s="25">
        <v>142152</v>
      </c>
      <c r="F14" s="19">
        <f>SUM(B14:E14)</f>
        <v>4629105</v>
      </c>
    </row>
    <row r="15" spans="1:6" x14ac:dyDescent="0.25">
      <c r="A15" s="18" t="s">
        <v>17</v>
      </c>
      <c r="B15" s="25">
        <v>467316</v>
      </c>
      <c r="C15" s="25">
        <v>157442</v>
      </c>
      <c r="D15" s="25">
        <v>3096</v>
      </c>
      <c r="E15" s="25">
        <v>359632</v>
      </c>
      <c r="F15" s="19">
        <f>SUM(B15:E15)</f>
        <v>987486</v>
      </c>
    </row>
    <row r="16" spans="1:6" x14ac:dyDescent="0.25">
      <c r="A16" s="18" t="s">
        <v>18</v>
      </c>
      <c r="B16" s="25">
        <f>B15+B14</f>
        <v>3669359</v>
      </c>
      <c r="C16" s="25">
        <v>1164166</v>
      </c>
      <c r="D16" s="25">
        <v>281282</v>
      </c>
      <c r="E16" s="25">
        <v>501784</v>
      </c>
      <c r="F16" s="19">
        <f>SUM(B16:E16)</f>
        <v>5616591</v>
      </c>
    </row>
    <row r="17" spans="1:7" x14ac:dyDescent="0.25">
      <c r="A17" s="70"/>
      <c r="B17" s="70"/>
      <c r="C17" s="70"/>
      <c r="D17" s="70"/>
      <c r="E17" s="70"/>
      <c r="F17" s="70"/>
    </row>
    <row r="18" spans="1:7" x14ac:dyDescent="0.25">
      <c r="A18" s="71" t="s">
        <v>19</v>
      </c>
      <c r="B18" s="72"/>
      <c r="C18" s="72"/>
      <c r="D18" s="72"/>
      <c r="E18" s="72"/>
      <c r="F18" s="73"/>
    </row>
    <row r="19" spans="1:7" x14ac:dyDescent="0.25">
      <c r="A19" s="14" t="s">
        <v>20</v>
      </c>
      <c r="B19" s="12">
        <v>3521</v>
      </c>
      <c r="C19" s="12">
        <v>4</v>
      </c>
      <c r="D19" s="12">
        <v>0</v>
      </c>
      <c r="E19" s="12">
        <v>0</v>
      </c>
      <c r="F19" s="28">
        <f>SUM(B19:E19)</f>
        <v>3525</v>
      </c>
    </row>
    <row r="20" spans="1:7" x14ac:dyDescent="0.25">
      <c r="A20" s="93"/>
      <c r="B20" s="93"/>
      <c r="C20" s="93"/>
      <c r="D20" s="93"/>
      <c r="E20" s="93"/>
      <c r="F20" s="93"/>
    </row>
    <row r="21" spans="1:7" x14ac:dyDescent="0.25">
      <c r="A21" s="18" t="s">
        <v>21</v>
      </c>
      <c r="B21" s="45">
        <f>+B19+B16</f>
        <v>3672880</v>
      </c>
      <c r="C21" s="45">
        <v>1164170</v>
      </c>
      <c r="D21" s="45">
        <v>281282</v>
      </c>
      <c r="E21" s="45">
        <f>E16</f>
        <v>501784</v>
      </c>
      <c r="F21" s="19">
        <f>SUM(B21:E21)</f>
        <v>5620116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25">
        <v>400885</v>
      </c>
      <c r="C24" s="25">
        <v>197748</v>
      </c>
      <c r="D24" s="25">
        <v>137709</v>
      </c>
      <c r="E24" s="25">
        <v>681713</v>
      </c>
      <c r="F24" s="19">
        <f>SUM(B24:E24)</f>
        <v>1418055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25">
        <f>+B24+B21</f>
        <v>4073765</v>
      </c>
      <c r="C27" s="25">
        <f>+C24+C21</f>
        <v>1361918</v>
      </c>
      <c r="D27" s="25">
        <f>+D21+D24</f>
        <v>418991</v>
      </c>
      <c r="E27" s="25">
        <f>+E24+E21</f>
        <v>1183497</v>
      </c>
      <c r="F27" s="19">
        <f>SUM(B27:E27)</f>
        <v>7038171</v>
      </c>
    </row>
    <row r="28" spans="1:7" x14ac:dyDescent="0.25">
      <c r="A28" s="70"/>
      <c r="B28" s="70"/>
      <c r="C28" s="70"/>
      <c r="D28" s="70"/>
      <c r="E28" s="70"/>
      <c r="F28" s="70"/>
      <c r="G28" s="70"/>
    </row>
    <row r="29" spans="1:7" x14ac:dyDescent="0.25">
      <c r="A29" s="75" t="s">
        <v>26</v>
      </c>
      <c r="B29" s="76"/>
      <c r="C29" s="76"/>
      <c r="D29" s="76"/>
      <c r="E29" s="76"/>
      <c r="F29" s="77"/>
    </row>
    <row r="30" spans="1:7" x14ac:dyDescent="0.25">
      <c r="A30" s="14" t="s">
        <v>27</v>
      </c>
      <c r="B30" s="12">
        <v>1253426</v>
      </c>
      <c r="C30" s="12">
        <v>139306</v>
      </c>
      <c r="D30" s="12">
        <v>85507</v>
      </c>
      <c r="E30" s="12">
        <v>217282</v>
      </c>
      <c r="F30" s="28">
        <f>SUM(B30:E30)</f>
        <v>1695521</v>
      </c>
    </row>
    <row r="31" spans="1:7" x14ac:dyDescent="0.25">
      <c r="A31" s="70"/>
      <c r="B31" s="70"/>
      <c r="C31" s="70"/>
      <c r="D31" s="70"/>
      <c r="E31" s="70"/>
      <c r="F31" s="70"/>
      <c r="G31" s="70"/>
    </row>
    <row r="32" spans="1:7" x14ac:dyDescent="0.25">
      <c r="A32" s="75" t="s">
        <v>28</v>
      </c>
      <c r="B32" s="76"/>
      <c r="C32" s="76"/>
      <c r="D32" s="76"/>
      <c r="E32" s="76"/>
      <c r="F32" s="77"/>
    </row>
    <row r="33" spans="1:8" x14ac:dyDescent="0.25">
      <c r="A33" s="14" t="s">
        <v>29</v>
      </c>
      <c r="B33" s="12">
        <v>3787253679939</v>
      </c>
      <c r="C33" s="12">
        <v>677840965274</v>
      </c>
      <c r="D33" s="12">
        <v>252591562853</v>
      </c>
      <c r="E33" s="12">
        <v>445025734649</v>
      </c>
      <c r="F33" s="28">
        <f>SUM(B33:E33)</f>
        <v>5162711942715</v>
      </c>
    </row>
    <row r="34" spans="1:8" x14ac:dyDescent="0.25">
      <c r="A34" s="14" t="s">
        <v>30</v>
      </c>
      <c r="B34" s="12">
        <v>167011183465</v>
      </c>
      <c r="C34" s="12">
        <v>68556056210</v>
      </c>
      <c r="D34" s="12">
        <v>41182487400</v>
      </c>
      <c r="E34" s="12">
        <v>200259411696</v>
      </c>
      <c r="F34" s="28">
        <f>SUM(B34:E34)</f>
        <v>477009138771</v>
      </c>
    </row>
    <row r="35" spans="1:8" x14ac:dyDescent="0.25">
      <c r="A35" s="41" t="s">
        <v>31</v>
      </c>
      <c r="B35" s="25">
        <f>SUM(B33:B34)</f>
        <v>3954264863404</v>
      </c>
      <c r="C35" s="25">
        <v>746397021484</v>
      </c>
      <c r="D35" s="25">
        <v>293774050253</v>
      </c>
      <c r="E35" s="25">
        <v>645285146345</v>
      </c>
      <c r="F35" s="42">
        <f>SUM(B35:E35)</f>
        <v>5639721081486</v>
      </c>
    </row>
    <row r="36" spans="1:8" x14ac:dyDescent="0.25">
      <c r="A36" s="94" t="s">
        <v>32</v>
      </c>
      <c r="B36" s="94"/>
      <c r="C36" s="94"/>
      <c r="D36" s="94"/>
      <c r="E36" s="94"/>
      <c r="F36" s="94"/>
      <c r="G36" s="94"/>
    </row>
    <row r="37" spans="1:8" x14ac:dyDescent="0.25">
      <c r="A37" s="40"/>
      <c r="B37" s="40"/>
      <c r="C37" s="40"/>
      <c r="D37" s="40"/>
      <c r="E37" s="40"/>
      <c r="F37" s="40"/>
      <c r="G37" s="40"/>
    </row>
    <row r="38" spans="1:8" ht="21" x14ac:dyDescent="0.35">
      <c r="A38" s="79" t="s">
        <v>33</v>
      </c>
      <c r="B38" s="80"/>
      <c r="C38" s="80"/>
      <c r="D38" s="80"/>
      <c r="E38" s="80"/>
      <c r="F38" s="81"/>
    </row>
    <row r="39" spans="1:8" x14ac:dyDescent="0.25">
      <c r="A39" s="75" t="s">
        <v>34</v>
      </c>
      <c r="B39" s="76"/>
      <c r="C39" s="76"/>
      <c r="D39" s="76"/>
      <c r="E39" s="76"/>
      <c r="F39" s="77"/>
    </row>
    <row r="40" spans="1:8" x14ac:dyDescent="0.25">
      <c r="A40" s="14" t="s">
        <v>35</v>
      </c>
      <c r="B40" s="12">
        <v>771540</v>
      </c>
      <c r="C40" s="12">
        <v>121154</v>
      </c>
      <c r="D40" s="12">
        <v>55413</v>
      </c>
      <c r="E40" s="12">
        <v>74457</v>
      </c>
      <c r="F40" s="28">
        <f>SUM(B40:E40)</f>
        <v>1022564</v>
      </c>
      <c r="G40" s="7"/>
      <c r="H40" s="7"/>
    </row>
    <row r="41" spans="1:8" x14ac:dyDescent="0.25">
      <c r="A41" s="14" t="s">
        <v>36</v>
      </c>
      <c r="B41" s="12">
        <f>4574277516/1000000</f>
        <v>4574.2775160000001</v>
      </c>
      <c r="C41" s="12">
        <v>1308.9784219999999</v>
      </c>
      <c r="D41" s="12">
        <v>561.1</v>
      </c>
      <c r="E41" s="12">
        <v>697.67788199999995</v>
      </c>
      <c r="F41" s="11">
        <f>SUM(B41:E41)</f>
        <v>7142.0338200000006</v>
      </c>
      <c r="G41" s="7"/>
      <c r="H41" s="7"/>
    </row>
    <row r="42" spans="1:8" x14ac:dyDescent="0.25">
      <c r="A42" s="70"/>
      <c r="B42" s="70"/>
      <c r="C42" s="70"/>
      <c r="D42" s="70"/>
      <c r="E42" s="70"/>
      <c r="F42" s="70"/>
      <c r="G42" s="70"/>
      <c r="H42" s="7"/>
    </row>
    <row r="43" spans="1:8" x14ac:dyDescent="0.25">
      <c r="A43" s="69" t="s">
        <v>37</v>
      </c>
      <c r="B43" s="69"/>
      <c r="C43" s="69"/>
      <c r="D43" s="69"/>
      <c r="E43" s="69"/>
      <c r="F43" s="69"/>
      <c r="H43" s="7"/>
    </row>
    <row r="44" spans="1:8" x14ac:dyDescent="0.25">
      <c r="A44" s="14" t="s">
        <v>38</v>
      </c>
      <c r="B44" s="12">
        <v>12</v>
      </c>
      <c r="C44" s="12">
        <v>9</v>
      </c>
      <c r="D44" s="12">
        <v>5</v>
      </c>
      <c r="E44" s="12">
        <v>0</v>
      </c>
      <c r="F44" s="28">
        <f>SUM(B44:E44)</f>
        <v>26</v>
      </c>
      <c r="G44" s="7"/>
      <c r="H44" s="7"/>
    </row>
    <row r="45" spans="1:8" x14ac:dyDescent="0.25">
      <c r="A45" s="14" t="s">
        <v>39</v>
      </c>
      <c r="B45" s="12">
        <f>4688015/1000000</f>
        <v>4.688015</v>
      </c>
      <c r="C45" s="12">
        <v>0.106919</v>
      </c>
      <c r="D45" s="12">
        <v>0.04</v>
      </c>
      <c r="E45" s="12">
        <v>0</v>
      </c>
      <c r="F45" s="11">
        <f>SUM(B45:E45)</f>
        <v>4.8349340000000005</v>
      </c>
      <c r="G45" s="7"/>
      <c r="H45" s="7"/>
    </row>
    <row r="46" spans="1:8" x14ac:dyDescent="0.25">
      <c r="A46" s="70"/>
      <c r="B46" s="70"/>
      <c r="C46" s="70"/>
      <c r="D46" s="70"/>
      <c r="E46" s="70"/>
      <c r="F46" s="70"/>
      <c r="G46" s="70"/>
      <c r="H46" s="7"/>
    </row>
    <row r="47" spans="1:8" x14ac:dyDescent="0.25">
      <c r="A47" s="69" t="s">
        <v>40</v>
      </c>
      <c r="B47" s="69"/>
      <c r="C47" s="69"/>
      <c r="D47" s="69"/>
      <c r="E47" s="69"/>
      <c r="F47" s="69"/>
      <c r="H47" s="7"/>
    </row>
    <row r="48" spans="1:8" x14ac:dyDescent="0.25">
      <c r="A48" s="14" t="s">
        <v>41</v>
      </c>
      <c r="B48" s="12">
        <v>162959</v>
      </c>
      <c r="C48" s="12">
        <v>63598</v>
      </c>
      <c r="D48" s="12">
        <v>10338</v>
      </c>
      <c r="E48" s="12">
        <v>53625</v>
      </c>
      <c r="F48" s="28">
        <f>SUM(B48:E48)</f>
        <v>290520</v>
      </c>
      <c r="G48" s="7"/>
      <c r="H48" s="7"/>
    </row>
    <row r="49" spans="1:8" x14ac:dyDescent="0.25">
      <c r="A49" s="14" t="s">
        <v>42</v>
      </c>
      <c r="B49" s="12">
        <f>(68895662309+ 1447424378)/1000000</f>
        <v>70343.086687000003</v>
      </c>
      <c r="C49" s="12">
        <v>23201</v>
      </c>
      <c r="D49" s="12">
        <v>9578.3359700000001</v>
      </c>
      <c r="E49" s="12">
        <v>10798.311135</v>
      </c>
      <c r="F49" s="11">
        <f>SUM(B49:E49)</f>
        <v>113920.733792</v>
      </c>
      <c r="G49" s="7"/>
      <c r="H49" s="7"/>
    </row>
    <row r="50" spans="1:8" x14ac:dyDescent="0.25">
      <c r="A50" s="70"/>
      <c r="B50" s="70"/>
      <c r="C50" s="70"/>
      <c r="D50" s="70"/>
      <c r="E50" s="70"/>
      <c r="F50" s="70"/>
      <c r="G50" s="70"/>
    </row>
    <row r="51" spans="1:8" ht="21" x14ac:dyDescent="0.35">
      <c r="A51" s="79" t="s">
        <v>43</v>
      </c>
      <c r="B51" s="80"/>
      <c r="C51" s="80"/>
      <c r="D51" s="80"/>
      <c r="E51" s="80"/>
      <c r="F51" s="81"/>
    </row>
    <row r="52" spans="1:8" x14ac:dyDescent="0.25">
      <c r="A52" s="89"/>
      <c r="B52" s="89"/>
      <c r="C52" s="89"/>
      <c r="D52" s="89"/>
      <c r="E52" s="89"/>
      <c r="F52" s="89"/>
      <c r="G52" s="89"/>
    </row>
    <row r="53" spans="1:8" x14ac:dyDescent="0.25">
      <c r="A53" s="69" t="s">
        <v>44</v>
      </c>
      <c r="B53" s="69"/>
      <c r="C53" s="69"/>
      <c r="D53" s="69"/>
      <c r="E53" s="69"/>
      <c r="F53" s="69"/>
    </row>
    <row r="54" spans="1:8" x14ac:dyDescent="0.25">
      <c r="A54" s="74" t="s">
        <v>45</v>
      </c>
      <c r="B54" s="74"/>
      <c r="C54" s="74"/>
      <c r="D54" s="74"/>
      <c r="E54" s="74"/>
      <c r="F54" s="74"/>
    </row>
    <row r="55" spans="1:8" x14ac:dyDescent="0.25">
      <c r="A55" s="14" t="s">
        <v>46</v>
      </c>
      <c r="B55" s="12">
        <v>84412</v>
      </c>
      <c r="C55" s="12">
        <v>3461</v>
      </c>
      <c r="D55" s="12">
        <v>1034</v>
      </c>
      <c r="E55" s="12">
        <v>3848</v>
      </c>
      <c r="F55" s="28">
        <f t="shared" ref="F55:F71" si="0">SUM(B55:E55)</f>
        <v>92755</v>
      </c>
    </row>
    <row r="56" spans="1:8" x14ac:dyDescent="0.25">
      <c r="A56" s="14" t="s">
        <v>47</v>
      </c>
      <c r="B56" s="12">
        <v>49365.087737000002</v>
      </c>
      <c r="C56" s="12">
        <v>4522.0057040000002</v>
      </c>
      <c r="D56" s="12">
        <v>1449</v>
      </c>
      <c r="E56" s="12">
        <v>10482</v>
      </c>
      <c r="F56" s="28">
        <f t="shared" si="0"/>
        <v>65818.093441000005</v>
      </c>
    </row>
    <row r="57" spans="1:8" x14ac:dyDescent="0.25">
      <c r="A57" s="14" t="s">
        <v>48</v>
      </c>
      <c r="B57" s="12">
        <v>11.606003885703499</v>
      </c>
      <c r="C57" s="12">
        <v>37</v>
      </c>
      <c r="D57" s="12">
        <v>20</v>
      </c>
      <c r="E57" s="12">
        <v>32</v>
      </c>
      <c r="F57" s="28">
        <f>AVERAGE(B57:E57)</f>
        <v>25.151500971425875</v>
      </c>
    </row>
    <row r="58" spans="1:8" x14ac:dyDescent="0.25">
      <c r="A58" s="14" t="s">
        <v>49</v>
      </c>
      <c r="B58" s="12">
        <v>941018</v>
      </c>
      <c r="C58" s="12">
        <v>141482</v>
      </c>
      <c r="D58" s="63">
        <v>50642</v>
      </c>
      <c r="E58" s="12">
        <v>74807</v>
      </c>
      <c r="F58" s="28">
        <f t="shared" si="0"/>
        <v>1207949</v>
      </c>
    </row>
    <row r="59" spans="1:8" x14ac:dyDescent="0.25">
      <c r="A59" s="14" t="s">
        <v>50</v>
      </c>
      <c r="B59" s="12">
        <v>1772570.582103</v>
      </c>
      <c r="C59" s="12">
        <v>261473.21262199999</v>
      </c>
      <c r="D59" s="63">
        <v>109071.47034</v>
      </c>
      <c r="E59" s="12">
        <v>169565</v>
      </c>
      <c r="F59" s="11">
        <f t="shared" si="0"/>
        <v>2312680.2650649999</v>
      </c>
    </row>
    <row r="60" spans="1:8" x14ac:dyDescent="0.25">
      <c r="A60" s="74" t="s">
        <v>51</v>
      </c>
      <c r="B60" s="74"/>
      <c r="C60" s="74"/>
      <c r="D60" s="74"/>
      <c r="E60" s="74"/>
      <c r="F60" s="74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 x14ac:dyDescent="0.25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 x14ac:dyDescent="0.25">
      <c r="A66" s="74" t="s">
        <v>52</v>
      </c>
      <c r="B66" s="74"/>
      <c r="C66" s="74"/>
      <c r="D66" s="74"/>
      <c r="E66" s="74"/>
      <c r="F66" s="74"/>
    </row>
    <row r="67" spans="1:7" x14ac:dyDescent="0.25">
      <c r="A67" s="14" t="s">
        <v>46</v>
      </c>
      <c r="B67" s="12">
        <v>5574</v>
      </c>
      <c r="C67" s="12">
        <v>1322</v>
      </c>
      <c r="D67" s="12">
        <v>1266</v>
      </c>
      <c r="E67" s="12">
        <v>9622</v>
      </c>
      <c r="F67" s="28">
        <f t="shared" si="0"/>
        <v>17784</v>
      </c>
    </row>
    <row r="68" spans="1:7" x14ac:dyDescent="0.25">
      <c r="A68" s="14" t="s">
        <v>47</v>
      </c>
      <c r="B68" s="12">
        <v>4420.8146649999999</v>
      </c>
      <c r="C68" s="12">
        <v>1382.690433</v>
      </c>
      <c r="D68" s="12">
        <v>1240</v>
      </c>
      <c r="E68" s="12">
        <v>12473</v>
      </c>
      <c r="F68" s="28">
        <f t="shared" si="0"/>
        <v>19516.505098000001</v>
      </c>
    </row>
    <row r="69" spans="1:7" x14ac:dyDescent="0.25">
      <c r="A69" s="14" t="s">
        <v>48</v>
      </c>
      <c r="B69" s="12">
        <v>37.947255113024802</v>
      </c>
      <c r="C69" s="12">
        <v>54</v>
      </c>
      <c r="D69" s="12">
        <v>48</v>
      </c>
      <c r="E69" s="12">
        <v>39</v>
      </c>
      <c r="F69" s="28">
        <f>AVERAGE(B69:E69)</f>
        <v>44.736813778256199</v>
      </c>
    </row>
    <row r="70" spans="1:7" x14ac:dyDescent="0.25">
      <c r="A70" s="14" t="s">
        <v>49</v>
      </c>
      <c r="B70" s="12">
        <v>133732</v>
      </c>
      <c r="C70" s="12">
        <v>86382</v>
      </c>
      <c r="D70" s="12">
        <v>59371</v>
      </c>
      <c r="E70" s="12">
        <v>264585</v>
      </c>
      <c r="F70" s="28">
        <f t="shared" si="0"/>
        <v>544070</v>
      </c>
    </row>
    <row r="71" spans="1:7" x14ac:dyDescent="0.25">
      <c r="A71" s="14" t="s">
        <v>50</v>
      </c>
      <c r="B71" s="12">
        <v>134598.80767499999</v>
      </c>
      <c r="C71" s="12">
        <v>99150.634000999999</v>
      </c>
      <c r="D71" s="12">
        <v>61175.845318</v>
      </c>
      <c r="E71" s="12">
        <v>236340</v>
      </c>
      <c r="F71" s="11">
        <f t="shared" si="0"/>
        <v>531265.28699399997</v>
      </c>
    </row>
    <row r="72" spans="1:7" x14ac:dyDescent="0.25">
      <c r="A72" s="83" t="s">
        <v>53</v>
      </c>
      <c r="B72" s="84"/>
      <c r="C72" s="84"/>
      <c r="D72" s="84"/>
      <c r="E72" s="84"/>
      <c r="F72" s="85"/>
    </row>
    <row r="73" spans="1:7" x14ac:dyDescent="0.25">
      <c r="A73" s="18" t="s">
        <v>54</v>
      </c>
      <c r="B73" s="19">
        <f>+B55+B67</f>
        <v>89986</v>
      </c>
      <c r="C73" s="19">
        <v>4783</v>
      </c>
      <c r="D73" s="19">
        <v>2300</v>
      </c>
      <c r="E73" s="19">
        <v>13470</v>
      </c>
      <c r="F73" s="19">
        <f>SUM(B73:E73)</f>
        <v>110539</v>
      </c>
    </row>
    <row r="74" spans="1:7" x14ac:dyDescent="0.25">
      <c r="A74" s="18" t="s">
        <v>47</v>
      </c>
      <c r="B74" s="19">
        <f>+B56+B68</f>
        <v>53785.902402</v>
      </c>
      <c r="C74" s="19">
        <v>5904.6961369999999</v>
      </c>
      <c r="D74" s="19">
        <v>2690</v>
      </c>
      <c r="E74" s="19">
        <v>22955</v>
      </c>
      <c r="F74" s="22">
        <f>SUM(B74:E74)</f>
        <v>85335.598538999999</v>
      </c>
    </row>
    <row r="75" spans="1:7" x14ac:dyDescent="0.25">
      <c r="A75" s="18" t="s">
        <v>48</v>
      </c>
      <c r="B75" s="19">
        <v>13.237659191429801</v>
      </c>
      <c r="C75" s="19">
        <v>30.333333333333332</v>
      </c>
      <c r="D75" s="19">
        <v>36</v>
      </c>
      <c r="E75" s="19">
        <v>35.5</v>
      </c>
      <c r="F75" s="19">
        <f>AVERAGE(B75:E75)</f>
        <v>28.767748131190785</v>
      </c>
    </row>
    <row r="76" spans="1:7" x14ac:dyDescent="0.25">
      <c r="A76" s="18" t="s">
        <v>49</v>
      </c>
      <c r="B76" s="19">
        <f>+B58+B70</f>
        <v>1074750</v>
      </c>
      <c r="C76" s="19">
        <v>227864</v>
      </c>
      <c r="D76" s="19">
        <v>110013</v>
      </c>
      <c r="E76" s="19">
        <v>339392</v>
      </c>
      <c r="F76" s="19">
        <f>SUM(B76:E76)</f>
        <v>1752019</v>
      </c>
    </row>
    <row r="77" spans="1:7" x14ac:dyDescent="0.25">
      <c r="A77" s="18" t="s">
        <v>50</v>
      </c>
      <c r="B77" s="19">
        <f>+B59+B71</f>
        <v>1907169.3897780001</v>
      </c>
      <c r="C77" s="19">
        <v>360623.84662299999</v>
      </c>
      <c r="D77" s="19">
        <v>170247.31565800001</v>
      </c>
      <c r="E77" s="19">
        <v>405905</v>
      </c>
      <c r="F77" s="22">
        <f>SUM(B77:E77)</f>
        <v>2843945.5520589999</v>
      </c>
    </row>
    <row r="78" spans="1:7" x14ac:dyDescent="0.25">
      <c r="A78" s="70"/>
      <c r="B78" s="70"/>
      <c r="C78" s="70"/>
      <c r="D78" s="70"/>
      <c r="E78" s="70"/>
      <c r="F78" s="70"/>
      <c r="G78" s="70"/>
    </row>
    <row r="79" spans="1:7" x14ac:dyDescent="0.25">
      <c r="A79" s="75" t="s">
        <v>55</v>
      </c>
      <c r="B79" s="76"/>
      <c r="C79" s="76"/>
      <c r="D79" s="76"/>
      <c r="E79" s="76"/>
      <c r="F79" s="77"/>
    </row>
    <row r="80" spans="1:7" x14ac:dyDescent="0.25">
      <c r="A80" s="71" t="s">
        <v>45</v>
      </c>
      <c r="B80" s="72"/>
      <c r="C80" s="72"/>
      <c r="D80" s="72"/>
      <c r="E80" s="72"/>
      <c r="F80" s="73"/>
    </row>
    <row r="81" spans="1:6" x14ac:dyDescent="0.25">
      <c r="A81" s="14" t="s">
        <v>46</v>
      </c>
      <c r="B81" s="12">
        <v>0</v>
      </c>
      <c r="C81" s="12">
        <v>0</v>
      </c>
      <c r="D81" s="12">
        <v>0</v>
      </c>
      <c r="E81" s="12">
        <v>0</v>
      </c>
      <c r="F81" s="20">
        <f>SUM(B81:E81)</f>
        <v>0</v>
      </c>
    </row>
    <row r="82" spans="1:6" x14ac:dyDescent="0.25">
      <c r="A82" s="14" t="s">
        <v>47</v>
      </c>
      <c r="B82" s="12">
        <v>0</v>
      </c>
      <c r="C82" s="12">
        <v>0</v>
      </c>
      <c r="D82" s="12">
        <v>0</v>
      </c>
      <c r="E82" s="12">
        <v>0</v>
      </c>
      <c r="F82" s="24">
        <f>SUM(B82:E82)</f>
        <v>0</v>
      </c>
    </row>
    <row r="83" spans="1:6" x14ac:dyDescent="0.25">
      <c r="A83" s="14" t="s">
        <v>48</v>
      </c>
      <c r="B83" s="12">
        <v>0</v>
      </c>
      <c r="C83" s="12">
        <v>0</v>
      </c>
      <c r="D83" s="12">
        <v>0</v>
      </c>
      <c r="E83" s="12">
        <v>0</v>
      </c>
      <c r="F83" s="24">
        <f>AVERAGE(B83:E83)</f>
        <v>0</v>
      </c>
    </row>
    <row r="84" spans="1:6" x14ac:dyDescent="0.25">
      <c r="A84" s="14" t="s">
        <v>49</v>
      </c>
      <c r="B84" s="12">
        <v>1017</v>
      </c>
      <c r="C84" s="12">
        <v>117</v>
      </c>
      <c r="D84" s="12">
        <v>6</v>
      </c>
      <c r="E84" s="12">
        <v>96</v>
      </c>
      <c r="F84" s="24">
        <f>SUM(B84:E84)</f>
        <v>1236</v>
      </c>
    </row>
    <row r="85" spans="1:6" x14ac:dyDescent="0.25">
      <c r="A85" s="14" t="s">
        <v>50</v>
      </c>
      <c r="B85" s="12">
        <v>21905.027997000001</v>
      </c>
      <c r="C85" s="12">
        <v>1474</v>
      </c>
      <c r="D85" s="12">
        <v>78</v>
      </c>
      <c r="E85" s="12">
        <v>1740.056008</v>
      </c>
      <c r="F85" s="11">
        <f>SUM(B85:E85)</f>
        <v>25197.084005000001</v>
      </c>
    </row>
    <row r="86" spans="1:6" x14ac:dyDescent="0.25">
      <c r="A86" s="71" t="s">
        <v>51</v>
      </c>
      <c r="B86" s="72"/>
      <c r="C86" s="72"/>
      <c r="D86" s="72"/>
      <c r="E86" s="72"/>
      <c r="F86" s="73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 x14ac:dyDescent="0.25">
      <c r="A92" s="71" t="s">
        <v>52</v>
      </c>
      <c r="B92" s="72"/>
      <c r="C92" s="72"/>
      <c r="D92" s="72"/>
      <c r="E92" s="72"/>
      <c r="F92" s="73"/>
    </row>
    <row r="93" spans="1:6" x14ac:dyDescent="0.25">
      <c r="A93" s="14" t="s">
        <v>46</v>
      </c>
      <c r="B93" s="12">
        <v>0</v>
      </c>
      <c r="C93" s="12">
        <v>0</v>
      </c>
      <c r="D93" s="12">
        <v>0</v>
      </c>
      <c r="E93" s="12">
        <v>0</v>
      </c>
      <c r="F93" s="28">
        <f>SUM(B93:E93)</f>
        <v>0</v>
      </c>
    </row>
    <row r="94" spans="1:6" x14ac:dyDescent="0.25">
      <c r="A94" s="14" t="s">
        <v>47</v>
      </c>
      <c r="B94" s="12">
        <v>0</v>
      </c>
      <c r="C94" s="12">
        <v>0</v>
      </c>
      <c r="D94" s="12">
        <v>0</v>
      </c>
      <c r="E94" s="12">
        <v>0</v>
      </c>
      <c r="F94" s="28">
        <f>SUM(B94:E94)</f>
        <v>0</v>
      </c>
    </row>
    <row r="95" spans="1:6" x14ac:dyDescent="0.25">
      <c r="A95" s="14" t="s">
        <v>48</v>
      </c>
      <c r="B95" s="12">
        <v>0</v>
      </c>
      <c r="C95" s="12">
        <v>0</v>
      </c>
      <c r="D95" s="12">
        <v>0</v>
      </c>
      <c r="E95" s="12">
        <v>0</v>
      </c>
      <c r="F95" s="28">
        <f>AVERAGE(B95:E95)</f>
        <v>0</v>
      </c>
    </row>
    <row r="96" spans="1:6" x14ac:dyDescent="0.25">
      <c r="A96" s="14" t="s">
        <v>49</v>
      </c>
      <c r="B96" s="12">
        <v>10</v>
      </c>
      <c r="C96" s="12">
        <v>0</v>
      </c>
      <c r="D96" s="12">
        <v>0</v>
      </c>
      <c r="E96" s="12">
        <v>7</v>
      </c>
      <c r="F96" s="28">
        <f>SUM(B96:E96)</f>
        <v>17</v>
      </c>
    </row>
    <row r="97" spans="1:7" x14ac:dyDescent="0.25">
      <c r="A97" s="14" t="s">
        <v>50</v>
      </c>
      <c r="B97" s="12">
        <v>177.23918699999999</v>
      </c>
      <c r="C97" s="12">
        <v>0</v>
      </c>
      <c r="D97" s="12">
        <v>0</v>
      </c>
      <c r="E97" s="12">
        <v>83.879150999999993</v>
      </c>
      <c r="F97" s="11">
        <f>SUM(B97:E97)</f>
        <v>261.11833799999999</v>
      </c>
    </row>
    <row r="98" spans="1:7" x14ac:dyDescent="0.25">
      <c r="A98" s="83" t="s">
        <v>56</v>
      </c>
      <c r="B98" s="84"/>
      <c r="C98" s="84"/>
      <c r="D98" s="84"/>
      <c r="E98" s="84"/>
      <c r="F98" s="85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1027</v>
      </c>
      <c r="C102" s="45">
        <v>117</v>
      </c>
      <c r="D102" s="45">
        <f>+D84</f>
        <v>6</v>
      </c>
      <c r="E102" s="47">
        <f>+E96+E84</f>
        <v>103</v>
      </c>
      <c r="F102" s="19">
        <f>SUM(B102:E102)</f>
        <v>1253</v>
      </c>
    </row>
    <row r="103" spans="1:7" x14ac:dyDescent="0.25">
      <c r="A103" s="18" t="s">
        <v>50</v>
      </c>
      <c r="B103" s="45">
        <f>+B97+B85</f>
        <v>22082.267184</v>
      </c>
      <c r="C103" s="45">
        <v>1474</v>
      </c>
      <c r="D103" s="45">
        <f>+D85</f>
        <v>78</v>
      </c>
      <c r="E103" s="45">
        <f>+E85+E97</f>
        <v>1823.9351590000001</v>
      </c>
      <c r="F103" s="22">
        <f>SUM(B103:E103)</f>
        <v>25458.202343000001</v>
      </c>
    </row>
    <row r="104" spans="1:7" x14ac:dyDescent="0.25">
      <c r="A104" s="70"/>
      <c r="B104" s="70"/>
      <c r="C104" s="70"/>
      <c r="D104" s="70"/>
      <c r="E104" s="70"/>
      <c r="F104" s="70"/>
      <c r="G104" s="70"/>
    </row>
    <row r="105" spans="1:7" x14ac:dyDescent="0.25">
      <c r="A105" s="69" t="s">
        <v>57</v>
      </c>
      <c r="B105" s="69"/>
      <c r="C105" s="69"/>
      <c r="D105" s="69"/>
      <c r="E105" s="69"/>
      <c r="F105" s="69"/>
    </row>
    <row r="106" spans="1:7" x14ac:dyDescent="0.25">
      <c r="A106" s="74" t="s">
        <v>58</v>
      </c>
      <c r="B106" s="74"/>
      <c r="C106" s="74"/>
      <c r="D106" s="74"/>
      <c r="E106" s="74"/>
      <c r="F106" s="74"/>
    </row>
    <row r="107" spans="1:7" x14ac:dyDescent="0.25">
      <c r="A107" s="14" t="s">
        <v>59</v>
      </c>
      <c r="B107" s="13">
        <v>2.868333737019384</v>
      </c>
      <c r="C107" s="13">
        <v>2.4476688867744887</v>
      </c>
      <c r="D107" s="14">
        <v>2.93</v>
      </c>
      <c r="E107" s="13">
        <v>2.54</v>
      </c>
      <c r="F107" s="13">
        <f>AVERAGE(B107:E107)</f>
        <v>2.6965006559484683</v>
      </c>
    </row>
    <row r="108" spans="1:7" x14ac:dyDescent="0.25">
      <c r="A108" s="14" t="s">
        <v>60</v>
      </c>
      <c r="B108" s="13">
        <v>2.6759156154848904</v>
      </c>
      <c r="C108" s="13">
        <v>2.4500000000000308</v>
      </c>
      <c r="D108" s="14">
        <v>2.91</v>
      </c>
      <c r="E108" s="13">
        <v>2.66</v>
      </c>
      <c r="F108" s="13">
        <f>AVERAGE(B108:E108)</f>
        <v>2.6739789038712303</v>
      </c>
    </row>
    <row r="109" spans="1:7" x14ac:dyDescent="0.25">
      <c r="A109" s="14" t="s">
        <v>61</v>
      </c>
      <c r="B109" s="13">
        <v>2.500505773751589</v>
      </c>
      <c r="C109" s="13">
        <v>2.6102118003025523</v>
      </c>
      <c r="D109" s="14">
        <v>2.81</v>
      </c>
      <c r="E109" s="13">
        <v>2.69</v>
      </c>
      <c r="F109" s="13">
        <f>AVERAGE(B109:E109)</f>
        <v>2.6526793935135351</v>
      </c>
    </row>
    <row r="110" spans="1:7" x14ac:dyDescent="0.25">
      <c r="A110" s="74" t="s">
        <v>62</v>
      </c>
      <c r="B110" s="74"/>
      <c r="C110" s="74"/>
      <c r="D110" s="74"/>
      <c r="E110" s="74"/>
      <c r="F110" s="74"/>
    </row>
    <row r="111" spans="1:7" x14ac:dyDescent="0.25">
      <c r="A111" s="14" t="s">
        <v>59</v>
      </c>
      <c r="B111" s="13">
        <v>2.0785714285714278</v>
      </c>
      <c r="C111" s="13">
        <v>1.5999999999999999</v>
      </c>
      <c r="D111" s="14">
        <v>1.6</v>
      </c>
      <c r="E111" s="14">
        <v>1.99</v>
      </c>
      <c r="F111" s="13">
        <f>AVERAGE(B111:E111)</f>
        <v>1.8171428571428572</v>
      </c>
    </row>
    <row r="112" spans="1:7" x14ac:dyDescent="0.25">
      <c r="A112" s="14" t="s">
        <v>60</v>
      </c>
      <c r="B112" s="13">
        <v>2.1465000000000036</v>
      </c>
      <c r="C112" s="13">
        <v>2.1599999999999993</v>
      </c>
      <c r="D112" s="14">
        <v>2.2000000000000002</v>
      </c>
      <c r="E112" s="13">
        <v>2.1599999999999993</v>
      </c>
      <c r="F112" s="13">
        <f>AVERAGE(B112:E112)</f>
        <v>2.1666250000000007</v>
      </c>
    </row>
    <row r="113" spans="1:8" x14ac:dyDescent="0.25">
      <c r="A113" s="14" t="s">
        <v>61</v>
      </c>
      <c r="B113" s="13">
        <v>2.0669348427238128</v>
      </c>
      <c r="C113" s="13">
        <v>2.1600000000000028</v>
      </c>
      <c r="D113" s="14">
        <v>2.2999999999999998</v>
      </c>
      <c r="E113" s="13">
        <v>2.19</v>
      </c>
      <c r="F113" s="13">
        <f>AVERAGE(B113:E113)</f>
        <v>2.1792337106809541</v>
      </c>
    </row>
    <row r="114" spans="1:8" x14ac:dyDescent="0.25">
      <c r="A114" s="70"/>
      <c r="B114" s="70"/>
      <c r="C114" s="70"/>
      <c r="D114" s="70"/>
      <c r="E114" s="70"/>
      <c r="F114" s="70"/>
      <c r="G114" s="70"/>
      <c r="H114" s="70"/>
    </row>
    <row r="115" spans="1:8" x14ac:dyDescent="0.25">
      <c r="A115" s="74" t="s">
        <v>63</v>
      </c>
      <c r="B115" s="74"/>
      <c r="C115" s="74"/>
      <c r="D115" s="74"/>
      <c r="E115" s="74"/>
      <c r="F115" s="74"/>
    </row>
    <row r="116" spans="1:8" x14ac:dyDescent="0.25">
      <c r="A116" s="14" t="s">
        <v>59</v>
      </c>
      <c r="B116" s="13">
        <v>1.5136827393431107</v>
      </c>
      <c r="C116" s="13">
        <v>1.7900000000000023</v>
      </c>
      <c r="D116" s="20">
        <v>2.0699999999999998</v>
      </c>
      <c r="E116" s="13">
        <v>1.7900000000000023</v>
      </c>
      <c r="F116" s="13">
        <f>AVERAGE(B116:E116)</f>
        <v>1.790920684835779</v>
      </c>
    </row>
    <row r="117" spans="1:8" x14ac:dyDescent="0.25">
      <c r="A117" s="14" t="s">
        <v>60</v>
      </c>
      <c r="B117" s="13">
        <v>1.7578220640569695</v>
      </c>
      <c r="C117" s="13">
        <v>1.7824472573839727</v>
      </c>
      <c r="D117" s="20">
        <v>2.02</v>
      </c>
      <c r="E117" s="13">
        <v>1.7900000000000023</v>
      </c>
      <c r="F117" s="13">
        <f>AVERAGE(B117:E117)</f>
        <v>1.837567330360236</v>
      </c>
    </row>
    <row r="118" spans="1:8" x14ac:dyDescent="0.25">
      <c r="A118" s="14" t="s">
        <v>61</v>
      </c>
      <c r="B118" s="13">
        <v>1.7566305147059107</v>
      </c>
      <c r="C118" s="13">
        <v>1.7886434255399462</v>
      </c>
      <c r="D118" s="20">
        <v>2.2999999999999998</v>
      </c>
      <c r="E118" s="13">
        <v>1.99</v>
      </c>
      <c r="F118" s="13">
        <f>AVERAGE(B118:E118)</f>
        <v>1.9588184850614643</v>
      </c>
    </row>
    <row r="119" spans="1:8" x14ac:dyDescent="0.25">
      <c r="A119" s="71" t="s">
        <v>64</v>
      </c>
      <c r="B119" s="72"/>
      <c r="C119" s="72"/>
      <c r="D119" s="72"/>
      <c r="E119" s="72"/>
      <c r="F119" s="73"/>
    </row>
    <row r="120" spans="1:8" x14ac:dyDescent="0.25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14">
        <v>1.34</v>
      </c>
      <c r="E121" s="13">
        <v>1.43</v>
      </c>
      <c r="F121" s="13">
        <f>AVERAGE(B121:E121)</f>
        <v>1.385</v>
      </c>
    </row>
    <row r="122" spans="1:8" x14ac:dyDescent="0.25">
      <c r="A122" s="14" t="s">
        <v>61</v>
      </c>
      <c r="B122" s="13">
        <v>1.43</v>
      </c>
      <c r="C122" s="13">
        <v>1.43</v>
      </c>
      <c r="D122" s="14">
        <v>1.92</v>
      </c>
      <c r="E122" s="13">
        <v>1.74</v>
      </c>
      <c r="F122" s="13">
        <f>AVERAGE(B122:E122)</f>
        <v>1.63</v>
      </c>
    </row>
    <row r="123" spans="1:8" x14ac:dyDescent="0.25">
      <c r="A123" s="70"/>
      <c r="B123" s="70"/>
      <c r="C123" s="70"/>
      <c r="D123" s="70"/>
      <c r="E123" s="70"/>
      <c r="F123" s="70"/>
      <c r="G123" s="70"/>
    </row>
    <row r="124" spans="1:8" x14ac:dyDescent="0.25">
      <c r="A124" s="75" t="s">
        <v>65</v>
      </c>
      <c r="B124" s="76"/>
      <c r="C124" s="76"/>
      <c r="D124" s="76"/>
      <c r="E124" s="76"/>
      <c r="F124" s="77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75" t="s">
        <v>67</v>
      </c>
      <c r="B126" s="76"/>
      <c r="C126" s="76"/>
      <c r="D126" s="76"/>
      <c r="E126" s="76"/>
      <c r="F126" s="77"/>
    </row>
    <row r="127" spans="1:8" x14ac:dyDescent="0.25">
      <c r="A127" s="3" t="s">
        <v>68</v>
      </c>
      <c r="B127" s="13">
        <v>1.81</v>
      </c>
      <c r="C127" s="39">
        <v>2.051256</v>
      </c>
      <c r="D127" s="34">
        <v>2.2269836071100273</v>
      </c>
      <c r="E127" s="4">
        <v>0</v>
      </c>
      <c r="F127" s="11">
        <f>AVERAGE(B127:E127)</f>
        <v>1.5220599017775069</v>
      </c>
    </row>
    <row r="128" spans="1:8" x14ac:dyDescent="0.25">
      <c r="A128" s="82"/>
      <c r="B128" s="82"/>
      <c r="C128" s="82"/>
      <c r="D128" s="82"/>
      <c r="E128" s="82"/>
      <c r="F128" s="82"/>
      <c r="G128" s="82"/>
    </row>
    <row r="129" spans="1:8" x14ac:dyDescent="0.25">
      <c r="A129" s="69" t="s">
        <v>69</v>
      </c>
      <c r="B129" s="69"/>
      <c r="C129" s="69"/>
      <c r="D129" s="69"/>
      <c r="E129" s="69"/>
      <c r="F129" s="69"/>
    </row>
    <row r="130" spans="1:8" x14ac:dyDescent="0.25">
      <c r="A130" s="14" t="s">
        <v>70</v>
      </c>
      <c r="B130" s="28">
        <v>236073</v>
      </c>
      <c r="C130" s="28">
        <v>3448</v>
      </c>
      <c r="D130" s="28">
        <v>8553</v>
      </c>
      <c r="E130" s="28">
        <v>790</v>
      </c>
      <c r="F130" s="28">
        <f>SUM(B130:E130)</f>
        <v>248864</v>
      </c>
    </row>
    <row r="131" spans="1:8" x14ac:dyDescent="0.25">
      <c r="A131" s="14" t="s">
        <v>71</v>
      </c>
      <c r="B131" s="28">
        <v>158918.14111</v>
      </c>
      <c r="C131" s="28">
        <v>3831</v>
      </c>
      <c r="D131" s="28">
        <v>995</v>
      </c>
      <c r="E131" s="28">
        <v>727.19148700000005</v>
      </c>
      <c r="F131" s="11">
        <f>SUM(B131:E131)</f>
        <v>164471.332597</v>
      </c>
    </row>
    <row r="132" spans="1:8" x14ac:dyDescent="0.25">
      <c r="A132" s="70"/>
      <c r="B132" s="70"/>
      <c r="C132" s="70"/>
      <c r="D132" s="70"/>
      <c r="E132" s="70"/>
      <c r="F132" s="70"/>
      <c r="G132" s="70"/>
    </row>
    <row r="133" spans="1:8" x14ac:dyDescent="0.25">
      <c r="A133" s="69" t="s">
        <v>72</v>
      </c>
      <c r="B133" s="69"/>
      <c r="C133" s="69"/>
      <c r="D133" s="69"/>
      <c r="E133" s="69"/>
      <c r="F133" s="69"/>
    </row>
    <row r="134" spans="1:8" x14ac:dyDescent="0.25">
      <c r="A134" s="14" t="s">
        <v>73</v>
      </c>
      <c r="B134" s="28">
        <v>756710</v>
      </c>
      <c r="C134" s="28">
        <v>364755</v>
      </c>
      <c r="D134" s="28">
        <v>127021</v>
      </c>
      <c r="E134" s="28">
        <v>290470</v>
      </c>
      <c r="F134" s="28">
        <f>SUM(B134:E134)</f>
        <v>1538956</v>
      </c>
    </row>
    <row r="135" spans="1:8" x14ac:dyDescent="0.25">
      <c r="A135" s="70"/>
      <c r="B135" s="70"/>
      <c r="C135" s="70"/>
      <c r="D135" s="70"/>
      <c r="E135" s="70"/>
      <c r="F135" s="70"/>
      <c r="G135" s="70"/>
    </row>
    <row r="136" spans="1:8" ht="21" x14ac:dyDescent="0.35">
      <c r="A136" s="78" t="s">
        <v>74</v>
      </c>
      <c r="B136" s="78"/>
      <c r="C136" s="78"/>
      <c r="D136" s="78"/>
      <c r="E136" s="78"/>
      <c r="F136" s="78"/>
    </row>
    <row r="137" spans="1:8" x14ac:dyDescent="0.25">
      <c r="A137" s="69" t="s">
        <v>75</v>
      </c>
      <c r="B137" s="69"/>
      <c r="C137" s="69"/>
      <c r="D137" s="69"/>
      <c r="E137" s="69"/>
      <c r="F137" s="69"/>
    </row>
    <row r="138" spans="1:8" x14ac:dyDescent="0.25">
      <c r="A138" s="14" t="s">
        <v>76</v>
      </c>
      <c r="B138" s="28">
        <v>0</v>
      </c>
      <c r="C138" s="28">
        <v>0</v>
      </c>
      <c r="D138" s="28">
        <v>0</v>
      </c>
      <c r="E138" s="28">
        <v>15538</v>
      </c>
      <c r="F138" s="28">
        <f>SUM(B138:E138)</f>
        <v>15538</v>
      </c>
      <c r="G138" s="7"/>
      <c r="H138" s="7"/>
    </row>
    <row r="139" spans="1:8" x14ac:dyDescent="0.25">
      <c r="A139" s="14" t="s">
        <v>77</v>
      </c>
      <c r="B139" s="28">
        <v>0</v>
      </c>
      <c r="C139" s="28">
        <v>0</v>
      </c>
      <c r="D139" s="28">
        <v>0</v>
      </c>
      <c r="E139" s="28">
        <v>150</v>
      </c>
      <c r="F139" s="28">
        <f>SUM(B139:E139)</f>
        <v>150</v>
      </c>
      <c r="G139" s="7"/>
      <c r="H139" s="7"/>
    </row>
    <row r="140" spans="1:8" x14ac:dyDescent="0.25">
      <c r="A140" s="70"/>
      <c r="B140" s="70"/>
      <c r="C140" s="70"/>
      <c r="D140" s="70"/>
      <c r="E140" s="70"/>
      <c r="F140" s="70"/>
      <c r="G140" s="70"/>
      <c r="H140" s="7"/>
    </row>
    <row r="141" spans="1:8" x14ac:dyDescent="0.25">
      <c r="A141" s="70"/>
      <c r="B141" s="70"/>
      <c r="C141" s="70"/>
      <c r="D141" s="70"/>
      <c r="E141" s="70"/>
      <c r="F141" s="70"/>
      <c r="G141" s="70"/>
    </row>
    <row r="142" spans="1:8" ht="21" x14ac:dyDescent="0.35">
      <c r="A142" s="79" t="s">
        <v>78</v>
      </c>
      <c r="B142" s="80"/>
      <c r="C142" s="80"/>
      <c r="D142" s="80"/>
      <c r="E142" s="80"/>
      <c r="F142" s="81"/>
    </row>
    <row r="143" spans="1:8" x14ac:dyDescent="0.25">
      <c r="A143" s="75" t="s">
        <v>79</v>
      </c>
      <c r="B143" s="76"/>
      <c r="C143" s="76"/>
      <c r="D143" s="76"/>
      <c r="E143" s="76"/>
      <c r="F143" s="77"/>
    </row>
    <row r="144" spans="1:8" x14ac:dyDescent="0.25">
      <c r="A144" s="70"/>
      <c r="B144" s="70"/>
      <c r="C144" s="70"/>
      <c r="D144" s="70"/>
      <c r="E144" s="70"/>
      <c r="F144" s="70"/>
      <c r="G144" s="70"/>
    </row>
    <row r="145" spans="1:7" x14ac:dyDescent="0.25">
      <c r="A145" s="74" t="s">
        <v>80</v>
      </c>
      <c r="B145" s="74"/>
      <c r="C145" s="74"/>
      <c r="D145" s="74"/>
      <c r="E145" s="74"/>
      <c r="F145" s="74"/>
    </row>
    <row r="146" spans="1:7" x14ac:dyDescent="0.25">
      <c r="A146" s="14" t="s">
        <v>81</v>
      </c>
      <c r="B146" s="28">
        <v>0</v>
      </c>
      <c r="C146">
        <v>716</v>
      </c>
      <c r="D146" s="28">
        <v>0</v>
      </c>
      <c r="E146" s="1">
        <v>836</v>
      </c>
      <c r="F146" s="28">
        <f>SUM(B146:E146)</f>
        <v>1552</v>
      </c>
    </row>
    <row r="147" spans="1:7" x14ac:dyDescent="0.25">
      <c r="A147" s="14" t="s">
        <v>82</v>
      </c>
      <c r="B147" s="28">
        <v>0</v>
      </c>
      <c r="C147" s="56">
        <v>16.167999999999999</v>
      </c>
      <c r="D147" s="28">
        <v>0</v>
      </c>
      <c r="E147" s="30">
        <v>10.313750000000001</v>
      </c>
      <c r="F147" s="11">
        <f>SUM(B147:E147)</f>
        <v>26.481749999999998</v>
      </c>
    </row>
    <row r="148" spans="1:7" x14ac:dyDescent="0.25">
      <c r="A148" s="70"/>
      <c r="B148" s="70"/>
      <c r="C148" s="70"/>
      <c r="D148" s="70"/>
      <c r="E148" s="70"/>
      <c r="F148" s="70"/>
      <c r="G148" s="70"/>
    </row>
    <row r="149" spans="1:7" x14ac:dyDescent="0.25">
      <c r="A149" s="74" t="s">
        <v>83</v>
      </c>
      <c r="B149" s="74"/>
      <c r="C149" s="74"/>
      <c r="D149" s="74"/>
      <c r="E149" s="74"/>
      <c r="F149" s="74"/>
    </row>
    <row r="150" spans="1:7" x14ac:dyDescent="0.25">
      <c r="A150" s="14" t="s">
        <v>84</v>
      </c>
      <c r="B150" s="28">
        <v>0</v>
      </c>
      <c r="C150" s="28">
        <v>0</v>
      </c>
      <c r="D150" s="28">
        <v>0</v>
      </c>
      <c r="E150" s="28">
        <v>0</v>
      </c>
      <c r="F150" s="28">
        <f>SUM(B150:E150)</f>
        <v>0</v>
      </c>
      <c r="G150"/>
    </row>
    <row r="151" spans="1:7" x14ac:dyDescent="0.25">
      <c r="A151" s="14" t="s">
        <v>85</v>
      </c>
      <c r="B151" s="28">
        <v>0</v>
      </c>
      <c r="C151" s="28">
        <v>0</v>
      </c>
      <c r="D151" s="28">
        <v>0</v>
      </c>
      <c r="E151" s="28">
        <v>0</v>
      </c>
      <c r="F151" s="11">
        <f>SUM(B151:E151)</f>
        <v>0</v>
      </c>
      <c r="G151"/>
    </row>
    <row r="152" spans="1:7" x14ac:dyDescent="0.25">
      <c r="A152" s="70"/>
      <c r="B152" s="70"/>
      <c r="C152" s="70"/>
      <c r="D152" s="70"/>
      <c r="E152" s="70"/>
      <c r="F152" s="70"/>
      <c r="G152" s="70"/>
    </row>
    <row r="153" spans="1:7" x14ac:dyDescent="0.25">
      <c r="A153" s="74" t="s">
        <v>86</v>
      </c>
      <c r="B153" s="74"/>
      <c r="C153" s="74"/>
      <c r="D153" s="74"/>
      <c r="E153" s="74"/>
      <c r="F153" s="74"/>
    </row>
    <row r="154" spans="1:7" x14ac:dyDescent="0.25">
      <c r="A154" s="14" t="s">
        <v>87</v>
      </c>
      <c r="B154" s="14">
        <v>0</v>
      </c>
      <c r="C154" s="28">
        <v>110</v>
      </c>
      <c r="D154" s="36">
        <v>0</v>
      </c>
      <c r="E154" s="35">
        <v>0</v>
      </c>
      <c r="F154" s="28">
        <f>SUM(B154:E154)</f>
        <v>110</v>
      </c>
      <c r="G154"/>
    </row>
    <row r="155" spans="1:7" x14ac:dyDescent="0.25">
      <c r="A155" s="14" t="s">
        <v>88</v>
      </c>
      <c r="B155" s="11">
        <v>0</v>
      </c>
      <c r="C155" s="28">
        <v>1.6</v>
      </c>
      <c r="D155" s="36">
        <v>0</v>
      </c>
      <c r="E155" s="35">
        <v>0</v>
      </c>
      <c r="F155" s="11">
        <f>SUM(B155:E155)</f>
        <v>1.6</v>
      </c>
      <c r="G155"/>
    </row>
    <row r="156" spans="1:7" x14ac:dyDescent="0.25">
      <c r="A156" s="70"/>
      <c r="B156" s="70"/>
      <c r="C156" s="70"/>
      <c r="D156" s="70"/>
      <c r="E156" s="70"/>
      <c r="F156" s="70"/>
      <c r="G156" s="70"/>
    </row>
    <row r="157" spans="1:7" x14ac:dyDescent="0.25">
      <c r="A157" s="71" t="s">
        <v>89</v>
      </c>
      <c r="B157" s="72"/>
      <c r="C157" s="72"/>
      <c r="D157" s="72"/>
      <c r="E157" s="72"/>
      <c r="F157" s="73"/>
    </row>
    <row r="158" spans="1:7" x14ac:dyDescent="0.25">
      <c r="A158" s="18" t="s">
        <v>90</v>
      </c>
      <c r="B158" s="19">
        <v>0</v>
      </c>
      <c r="C158" s="46">
        <v>826</v>
      </c>
      <c r="D158" s="19">
        <v>0</v>
      </c>
      <c r="E158" s="19">
        <f>E146+E154</f>
        <v>836</v>
      </c>
      <c r="F158" s="19">
        <f>SUM(B158:E158)</f>
        <v>1662</v>
      </c>
    </row>
    <row r="159" spans="1:7" x14ac:dyDescent="0.25">
      <c r="A159" s="18" t="s">
        <v>91</v>
      </c>
      <c r="B159" s="19">
        <v>0</v>
      </c>
      <c r="C159" s="46">
        <v>17.768000000000001</v>
      </c>
      <c r="D159" s="19">
        <v>0</v>
      </c>
      <c r="E159" s="19">
        <f>E147+E155</f>
        <v>10.313750000000001</v>
      </c>
      <c r="F159" s="22">
        <f>SUM(B159:E159)</f>
        <v>28.08175</v>
      </c>
    </row>
    <row r="160" spans="1:7" x14ac:dyDescent="0.25">
      <c r="A160" s="70"/>
      <c r="B160" s="70"/>
      <c r="C160" s="70"/>
      <c r="D160" s="70"/>
      <c r="E160" s="70"/>
      <c r="F160" s="70"/>
      <c r="G160" s="70"/>
    </row>
    <row r="161" spans="1:7" x14ac:dyDescent="0.25">
      <c r="A161" s="69" t="s">
        <v>92</v>
      </c>
      <c r="B161" s="69"/>
      <c r="C161" s="69"/>
      <c r="D161" s="69"/>
      <c r="E161" s="69"/>
      <c r="F161" s="69"/>
    </row>
    <row r="162" spans="1:7" x14ac:dyDescent="0.25">
      <c r="A162" s="14" t="s">
        <v>87</v>
      </c>
      <c r="B162" s="28">
        <v>2377</v>
      </c>
      <c r="C162" s="28">
        <v>29816</v>
      </c>
      <c r="D162" s="28">
        <v>3530</v>
      </c>
      <c r="E162" s="28">
        <v>18776</v>
      </c>
      <c r="F162" s="28">
        <f>SUM(B162:E162)</f>
        <v>54499</v>
      </c>
    </row>
    <row r="163" spans="1:7" x14ac:dyDescent="0.25">
      <c r="A163" s="14" t="s">
        <v>88</v>
      </c>
      <c r="B163" s="28">
        <f>51754530/1000000</f>
        <v>51.754530000000003</v>
      </c>
      <c r="C163" s="28">
        <v>184.05765399999999</v>
      </c>
      <c r="D163" s="28">
        <v>58.6</v>
      </c>
      <c r="E163" s="28">
        <v>121.70848700000001</v>
      </c>
      <c r="F163" s="11">
        <f>SUM(B163:E163)</f>
        <v>416.12067100000002</v>
      </c>
    </row>
    <row r="164" spans="1:7" x14ac:dyDescent="0.25">
      <c r="A164" s="70"/>
      <c r="B164" s="70"/>
      <c r="C164" s="70"/>
      <c r="D164" s="70"/>
      <c r="E164" s="70"/>
      <c r="F164" s="70"/>
    </row>
    <row r="165" spans="1:7" x14ac:dyDescent="0.25">
      <c r="A165" s="75" t="s">
        <v>93</v>
      </c>
      <c r="B165" s="76"/>
      <c r="C165" s="76"/>
      <c r="D165" s="76"/>
      <c r="E165" s="76"/>
      <c r="F165" s="77"/>
    </row>
    <row r="166" spans="1:7" x14ac:dyDescent="0.25">
      <c r="A166" s="71" t="s">
        <v>94</v>
      </c>
      <c r="B166" s="72"/>
      <c r="C166" s="72"/>
      <c r="D166" s="72"/>
      <c r="E166" s="72"/>
      <c r="F166" s="73"/>
    </row>
    <row r="167" spans="1:7" x14ac:dyDescent="0.25">
      <c r="A167" s="14" t="s">
        <v>95</v>
      </c>
      <c r="B167" s="28">
        <v>203</v>
      </c>
      <c r="C167" s="28">
        <v>3362</v>
      </c>
      <c r="D167" s="28">
        <v>78</v>
      </c>
      <c r="E167" s="28">
        <v>451</v>
      </c>
      <c r="F167" s="28">
        <f>SUM(B167:E167)</f>
        <v>4094</v>
      </c>
    </row>
    <row r="168" spans="1:7" x14ac:dyDescent="0.25">
      <c r="A168" s="14" t="s">
        <v>96</v>
      </c>
      <c r="B168" s="28">
        <f>5075000/1000000</f>
        <v>5.0750000000000002</v>
      </c>
      <c r="C168" s="28">
        <v>75.947000000000003</v>
      </c>
      <c r="D168" s="28">
        <v>1.95</v>
      </c>
      <c r="E168" s="28">
        <v>16</v>
      </c>
      <c r="F168" s="11">
        <f>SUM(B168:E168)</f>
        <v>98.972000000000008</v>
      </c>
    </row>
    <row r="169" spans="1:7" x14ac:dyDescent="0.25">
      <c r="A169" s="70"/>
      <c r="B169" s="70"/>
      <c r="C169" s="70"/>
      <c r="D169" s="70"/>
      <c r="E169" s="70"/>
      <c r="F169" s="70"/>
    </row>
    <row r="170" spans="1:7" x14ac:dyDescent="0.25">
      <c r="A170" s="71" t="s">
        <v>97</v>
      </c>
      <c r="B170" s="72"/>
      <c r="C170" s="72"/>
      <c r="D170" s="72"/>
      <c r="E170" s="72"/>
      <c r="F170" s="73"/>
    </row>
    <row r="171" spans="1:7" x14ac:dyDescent="0.25">
      <c r="A171" s="14" t="s">
        <v>98</v>
      </c>
      <c r="B171" s="28">
        <v>932</v>
      </c>
      <c r="C171" s="28">
        <v>458</v>
      </c>
      <c r="D171" s="28">
        <v>118</v>
      </c>
      <c r="E171" s="28">
        <v>393</v>
      </c>
      <c r="F171" s="28">
        <f>SUM(B171:E171)</f>
        <v>1901</v>
      </c>
    </row>
    <row r="172" spans="1:7" x14ac:dyDescent="0.25">
      <c r="A172" s="14" t="s">
        <v>96</v>
      </c>
      <c r="B172" s="28">
        <f>20504000/1000000</f>
        <v>20.504000000000001</v>
      </c>
      <c r="C172" s="28">
        <v>9.66</v>
      </c>
      <c r="D172" s="28">
        <v>2.95</v>
      </c>
      <c r="E172" s="28">
        <v>8.5950000000000006</v>
      </c>
      <c r="F172" s="11">
        <f>SUM(B172:E172)</f>
        <v>41.709000000000003</v>
      </c>
    </row>
    <row r="173" spans="1:7" x14ac:dyDescent="0.25">
      <c r="A173" s="70"/>
      <c r="B173" s="70"/>
      <c r="C173" s="70"/>
      <c r="D173" s="70"/>
      <c r="E173" s="70"/>
      <c r="F173" s="70"/>
      <c r="G173" s="70"/>
    </row>
    <row r="174" spans="1:7" x14ac:dyDescent="0.25">
      <c r="A174" s="71" t="s">
        <v>99</v>
      </c>
      <c r="B174" s="72"/>
      <c r="C174" s="72"/>
      <c r="D174" s="72"/>
      <c r="E174" s="72"/>
      <c r="F174" s="73"/>
    </row>
    <row r="175" spans="1:7" x14ac:dyDescent="0.25">
      <c r="A175" s="14" t="s">
        <v>98</v>
      </c>
      <c r="B175" s="28">
        <v>178</v>
      </c>
      <c r="C175" s="28">
        <v>361</v>
      </c>
      <c r="D175" s="28">
        <v>119</v>
      </c>
      <c r="E175" s="28">
        <v>36</v>
      </c>
      <c r="F175" s="28">
        <f>SUM(B175:E175)</f>
        <v>694</v>
      </c>
    </row>
    <row r="176" spans="1:7" x14ac:dyDescent="0.25">
      <c r="A176" s="14" t="s">
        <v>96</v>
      </c>
      <c r="B176" s="28">
        <f>12460000/1000000</f>
        <v>12.46</v>
      </c>
      <c r="C176" s="28">
        <v>38.35</v>
      </c>
      <c r="D176" s="28">
        <v>6.82</v>
      </c>
      <c r="E176" s="28">
        <v>3.62</v>
      </c>
      <c r="F176" s="11">
        <f>SUM(B176:E176)</f>
        <v>61.25</v>
      </c>
    </row>
    <row r="177" spans="1:7" x14ac:dyDescent="0.25">
      <c r="A177" s="70"/>
      <c r="B177" s="70"/>
      <c r="C177" s="70"/>
      <c r="D177" s="70"/>
      <c r="E177" s="70"/>
      <c r="F177" s="70"/>
      <c r="G177" s="70"/>
    </row>
    <row r="178" spans="1:7" x14ac:dyDescent="0.25">
      <c r="A178" s="71" t="s">
        <v>100</v>
      </c>
      <c r="B178" s="72"/>
      <c r="C178" s="72"/>
      <c r="D178" s="72"/>
      <c r="E178" s="72"/>
      <c r="F178" s="73"/>
    </row>
    <row r="179" spans="1:7" x14ac:dyDescent="0.25">
      <c r="A179" s="14" t="s">
        <v>98</v>
      </c>
      <c r="B179" s="28">
        <v>247</v>
      </c>
      <c r="C179" s="28">
        <v>163022</v>
      </c>
      <c r="D179" s="28">
        <v>0</v>
      </c>
      <c r="E179" s="28">
        <v>0</v>
      </c>
      <c r="F179" s="28">
        <f>SUM(B179:E179)</f>
        <v>163269</v>
      </c>
    </row>
    <row r="180" spans="1:7" x14ac:dyDescent="0.25">
      <c r="A180" s="14" t="s">
        <v>96</v>
      </c>
      <c r="B180" s="28">
        <f>7740000/1000000</f>
        <v>7.74</v>
      </c>
      <c r="C180" s="28">
        <v>2785.0773488381901</v>
      </c>
      <c r="D180" s="28">
        <v>0</v>
      </c>
      <c r="E180" s="28">
        <v>0</v>
      </c>
      <c r="F180" s="11">
        <f>SUM(B180:E180)</f>
        <v>2792.8173488381899</v>
      </c>
    </row>
    <row r="181" spans="1:7" x14ac:dyDescent="0.25">
      <c r="A181" s="70"/>
      <c r="B181" s="70"/>
      <c r="C181" s="70"/>
      <c r="D181" s="70"/>
      <c r="E181" s="70"/>
      <c r="F181" s="70"/>
      <c r="G181" s="70"/>
    </row>
    <row r="182" spans="1:7" x14ac:dyDescent="0.25">
      <c r="A182" s="69" t="s">
        <v>101</v>
      </c>
      <c r="B182" s="69"/>
      <c r="C182" s="69"/>
      <c r="D182" s="69"/>
      <c r="E182" s="69"/>
      <c r="F182" s="69"/>
    </row>
    <row r="183" spans="1:7" x14ac:dyDescent="0.25">
      <c r="A183" s="18" t="s">
        <v>102</v>
      </c>
      <c r="B183" s="19">
        <f>+B179+B175+B171+B167</f>
        <v>1560</v>
      </c>
      <c r="C183" s="46">
        <v>167203</v>
      </c>
      <c r="D183" s="19">
        <v>315</v>
      </c>
      <c r="E183" s="19">
        <f>+E179+E175+E171+E167</f>
        <v>880</v>
      </c>
      <c r="F183" s="19">
        <f>SUM(B183:E183)</f>
        <v>169958</v>
      </c>
    </row>
    <row r="184" spans="1:7" x14ac:dyDescent="0.25">
      <c r="A184" s="18" t="s">
        <v>103</v>
      </c>
      <c r="B184" s="19">
        <f>+B180+B176+B172+B168</f>
        <v>45.779000000000011</v>
      </c>
      <c r="C184" s="46">
        <v>2909.03434883819</v>
      </c>
      <c r="D184" s="19">
        <v>11.719999999999999</v>
      </c>
      <c r="E184" s="19">
        <f>+E180+E176+E172+E168</f>
        <v>28.215</v>
      </c>
      <c r="F184" s="22">
        <f>SUM(B184:E184)</f>
        <v>2994.7483488381899</v>
      </c>
    </row>
    <row r="185" spans="1:7" x14ac:dyDescent="0.25">
      <c r="A185" s="70"/>
      <c r="B185" s="70"/>
      <c r="C185" s="70"/>
      <c r="D185" s="70"/>
      <c r="E185" s="70"/>
      <c r="F185" s="70"/>
      <c r="G185" s="70"/>
    </row>
    <row r="186" spans="1:7" x14ac:dyDescent="0.25">
      <c r="A186" s="69" t="s">
        <v>104</v>
      </c>
      <c r="B186" s="69"/>
      <c r="C186" s="69"/>
      <c r="D186" s="69"/>
      <c r="E186" s="69"/>
      <c r="F186" s="69"/>
    </row>
    <row r="187" spans="1:7" x14ac:dyDescent="0.25">
      <c r="A187" s="14" t="s">
        <v>105</v>
      </c>
      <c r="B187" s="28">
        <v>2910</v>
      </c>
      <c r="C187" s="28">
        <v>1646</v>
      </c>
      <c r="D187" s="14">
        <v>55</v>
      </c>
      <c r="E187" s="28">
        <v>20492</v>
      </c>
      <c r="F187" s="28">
        <f>SUM(B187:E187)</f>
        <v>25103</v>
      </c>
    </row>
    <row r="188" spans="1:7" x14ac:dyDescent="0.25">
      <c r="A188" s="14" t="s">
        <v>106</v>
      </c>
      <c r="B188" s="28">
        <f>24225554/1000000</f>
        <v>24.225553999999999</v>
      </c>
      <c r="C188" s="28">
        <v>244.864608</v>
      </c>
      <c r="D188" s="14">
        <v>2.08</v>
      </c>
      <c r="E188" s="28">
        <v>160.23723699999999</v>
      </c>
      <c r="F188" s="11">
        <f>SUM(B188:E188)</f>
        <v>431.407399</v>
      </c>
    </row>
    <row r="189" spans="1:7" x14ac:dyDescent="0.25">
      <c r="A189" s="70"/>
      <c r="B189" s="70"/>
      <c r="C189" s="70"/>
      <c r="D189" s="70"/>
      <c r="E189" s="70"/>
      <c r="F189" s="70"/>
      <c r="G189" s="70"/>
    </row>
    <row r="190" spans="1:7" x14ac:dyDescent="0.25">
      <c r="A190" s="69" t="s">
        <v>107</v>
      </c>
      <c r="B190" s="69"/>
      <c r="C190" s="69"/>
      <c r="D190" s="69"/>
      <c r="E190" s="69"/>
      <c r="F190" s="69"/>
    </row>
    <row r="191" spans="1:7" x14ac:dyDescent="0.25">
      <c r="A191" s="18" t="s">
        <v>108</v>
      </c>
      <c r="B191" s="19">
        <f>B187+B162+B183</f>
        <v>6847</v>
      </c>
      <c r="C191" s="46">
        <v>199491</v>
      </c>
      <c r="D191" s="19">
        <v>3900</v>
      </c>
      <c r="E191" s="19">
        <f>E158+E162+E183+E187</f>
        <v>40984</v>
      </c>
      <c r="F191" s="19">
        <f>SUM(B191:E191)</f>
        <v>251222</v>
      </c>
    </row>
    <row r="192" spans="1:7" x14ac:dyDescent="0.25">
      <c r="A192" s="18" t="s">
        <v>109</v>
      </c>
      <c r="B192" s="19">
        <f>B188+B163+B184</f>
        <v>121.75908400000002</v>
      </c>
      <c r="C192" s="46">
        <v>3355.7246108381901</v>
      </c>
      <c r="D192" s="19">
        <v>72.400000000000006</v>
      </c>
      <c r="E192" s="19">
        <f>E159+E184+E163+E188</f>
        <v>320.47447399999999</v>
      </c>
      <c r="F192" s="22">
        <f>SUM(B192:E192)</f>
        <v>3870.3581688381901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Ene-23</vt:lpstr>
      <vt:lpstr>Feb-23</vt:lpstr>
      <vt:lpstr>Mar-23</vt:lpstr>
      <vt:lpstr>Abr-23</vt:lpstr>
      <vt:lpstr>May-23</vt:lpstr>
      <vt:lpstr>Jun-23</vt:lpstr>
      <vt:lpstr>Jul-23</vt:lpstr>
      <vt:lpstr>Ago-23</vt:lpstr>
      <vt:lpstr>Sep-23</vt:lpstr>
      <vt:lpstr>Oct-23</vt:lpstr>
      <vt:lpstr>Nov-23</vt:lpstr>
      <vt:lpstr>Dic-23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2020-04-29T19:55:58Z</dcterms:created>
  <dcterms:modified xsi:type="dcterms:W3CDTF">2024-06-12T13:43:33Z</dcterms:modified>
  <cp:category/>
  <cp:contentStatus/>
</cp:coreProperties>
</file>