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C207BD58-DDB2-456E-88B5-26099FCCE3E4}" xr6:coauthVersionLast="47" xr6:coauthVersionMax="47" xr10:uidLastSave="{00000000-0000-0000-0000-000000000000}"/>
  <bookViews>
    <workbookView xWindow="0" yWindow="0" windowWidth="12960" windowHeight="10920" tabRatio="781" firstSheet="4" activeTab="8" xr2:uid="{00000000-000D-0000-FFFF-FFFF00000000}"/>
  </bookViews>
  <sheets>
    <sheet name="Ene-24" sheetId="68" r:id="rId1"/>
    <sheet name="Feb-24" sheetId="91" r:id="rId2"/>
    <sheet name="Mar-24" sheetId="92" r:id="rId3"/>
    <sheet name="Abr-24" sheetId="93" r:id="rId4"/>
    <sheet name="May-24" sheetId="94" r:id="rId5"/>
    <sheet name="Jun-24" sheetId="95" r:id="rId6"/>
    <sheet name="Jul-24" sheetId="96" r:id="rId7"/>
    <sheet name="Ago-24" sheetId="97" r:id="rId8"/>
    <sheet name="Sep-24" sheetId="98" r:id="rId9"/>
    <sheet name="Oct-24" sheetId="99" r:id="rId10"/>
    <sheet name="Nov-24" sheetId="100" r:id="rId11"/>
    <sheet name="Dic-24" sheetId="10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8" i="98" l="1"/>
  <c r="F187" i="98"/>
  <c r="F77" i="98"/>
  <c r="F76" i="98"/>
  <c r="F75" i="98"/>
  <c r="F74" i="98"/>
  <c r="F73" i="98"/>
  <c r="F21" i="98"/>
  <c r="E184" i="98"/>
  <c r="E192" i="98" s="1"/>
  <c r="E183" i="98"/>
  <c r="E191" i="98" s="1"/>
  <c r="D77" i="98" l="1"/>
  <c r="D76" i="98"/>
  <c r="D75" i="98"/>
  <c r="D74" i="98"/>
  <c r="D73" i="98"/>
  <c r="D35" i="98"/>
  <c r="D8" i="98"/>
  <c r="C188" i="98" l="1"/>
  <c r="C184" i="98"/>
  <c r="C183" i="98"/>
  <c r="C180" i="98"/>
  <c r="C176" i="98"/>
  <c r="C172" i="98"/>
  <c r="C168" i="98"/>
  <c r="C163" i="98"/>
  <c r="C103" i="98"/>
  <c r="C102" i="98"/>
  <c r="C77" i="98"/>
  <c r="C76" i="98"/>
  <c r="C74" i="98"/>
  <c r="C73" i="98"/>
  <c r="C49" i="98"/>
  <c r="C45" i="98"/>
  <c r="C41" i="98"/>
  <c r="C35" i="98"/>
  <c r="C14" i="98"/>
  <c r="C16" i="98" s="1"/>
  <c r="C21" i="98" s="1"/>
  <c r="C8" i="98"/>
  <c r="F21" i="97"/>
  <c r="D8" i="97" l="1"/>
  <c r="C188" i="97" l="1"/>
  <c r="C184" i="97"/>
  <c r="C183" i="97"/>
  <c r="C180" i="97"/>
  <c r="C176" i="97"/>
  <c r="C172" i="97"/>
  <c r="C168" i="97"/>
  <c r="C163" i="97"/>
  <c r="C77" i="97"/>
  <c r="C76" i="97"/>
  <c r="C74" i="97"/>
  <c r="C73" i="97"/>
  <c r="C49" i="97"/>
  <c r="C45" i="97"/>
  <c r="C41" i="97"/>
  <c r="C35" i="97"/>
  <c r="C14" i="97"/>
  <c r="C16" i="97" s="1"/>
  <c r="C21" i="97" s="1"/>
  <c r="C8" i="97"/>
  <c r="E27" i="96"/>
  <c r="F21" i="96"/>
  <c r="E184" i="96"/>
  <c r="E183" i="96"/>
  <c r="D35" i="96" l="1"/>
  <c r="D8" i="96"/>
  <c r="C188" i="96" l="1"/>
  <c r="C184" i="96"/>
  <c r="C183" i="96"/>
  <c r="C180" i="96"/>
  <c r="C176" i="96"/>
  <c r="C172" i="96"/>
  <c r="C168" i="96"/>
  <c r="C163" i="96"/>
  <c r="C77" i="96"/>
  <c r="C76" i="96"/>
  <c r="C74" i="96"/>
  <c r="C73" i="96"/>
  <c r="C49" i="96"/>
  <c r="C45" i="96"/>
  <c r="C41" i="96"/>
  <c r="C35" i="96"/>
  <c r="C14" i="96"/>
  <c r="C16" i="96" s="1"/>
  <c r="C21" i="96" s="1"/>
  <c r="C8" i="96"/>
  <c r="F183" i="95"/>
  <c r="F184" i="95"/>
  <c r="E184" i="94"/>
  <c r="E183" i="94"/>
  <c r="F159" i="95"/>
  <c r="F158" i="95"/>
  <c r="F21" i="95"/>
  <c r="C188" i="95" l="1"/>
  <c r="C184" i="95"/>
  <c r="C183" i="95"/>
  <c r="C180" i="95"/>
  <c r="C176" i="95"/>
  <c r="C172" i="95"/>
  <c r="C168" i="95"/>
  <c r="C163" i="95"/>
  <c r="C103" i="95"/>
  <c r="C102" i="95"/>
  <c r="C77" i="95"/>
  <c r="C76" i="95"/>
  <c r="C74" i="95"/>
  <c r="C73" i="95"/>
  <c r="C49" i="95"/>
  <c r="C45" i="95"/>
  <c r="C41" i="95"/>
  <c r="C21" i="95"/>
  <c r="C8" i="95"/>
  <c r="E192" i="94"/>
  <c r="E192" i="93"/>
  <c r="E191" i="94"/>
  <c r="E184" i="93"/>
  <c r="E183" i="93"/>
  <c r="E21" i="94"/>
  <c r="B188" i="94" l="1"/>
  <c r="B184" i="94"/>
  <c r="B183" i="94"/>
  <c r="B180" i="94"/>
  <c r="B176" i="94"/>
  <c r="B172" i="94"/>
  <c r="B168" i="94"/>
  <c r="B163" i="94"/>
  <c r="B77" i="94"/>
  <c r="B76" i="94"/>
  <c r="B74" i="94"/>
  <c r="B73" i="94"/>
  <c r="B49" i="94"/>
  <c r="B45" i="94"/>
  <c r="B41" i="94"/>
  <c r="C8" i="93"/>
  <c r="B188" i="93" l="1"/>
  <c r="B184" i="93"/>
  <c r="B183" i="93"/>
  <c r="B180" i="93"/>
  <c r="B176" i="93"/>
  <c r="B172" i="93"/>
  <c r="B168" i="93"/>
  <c r="B163" i="93"/>
  <c r="B49" i="93"/>
  <c r="B45" i="93"/>
  <c r="B41" i="93"/>
  <c r="B21" i="93"/>
  <c r="B188" i="92"/>
  <c r="B184" i="92"/>
  <c r="B183" i="92"/>
  <c r="B180" i="92"/>
  <c r="B176" i="92"/>
  <c r="B172" i="92"/>
  <c r="B168" i="92"/>
  <c r="B163" i="92"/>
  <c r="B103" i="92"/>
  <c r="B102" i="92"/>
  <c r="B77" i="92"/>
  <c r="B76" i="92"/>
  <c r="B74" i="92"/>
  <c r="B73" i="92"/>
  <c r="B49" i="92"/>
  <c r="B45" i="92"/>
  <c r="B41" i="92"/>
  <c r="F188" i="91"/>
  <c r="F187" i="91"/>
  <c r="F183" i="91"/>
  <c r="F184" i="91"/>
  <c r="F159" i="91"/>
  <c r="F158" i="91"/>
  <c r="F103" i="91"/>
  <c r="F102" i="91"/>
  <c r="F21" i="91"/>
  <c r="D103" i="91" l="1"/>
  <c r="D102" i="91"/>
  <c r="D35" i="91"/>
  <c r="D8" i="91"/>
  <c r="C188" i="91" l="1"/>
  <c r="C184" i="91"/>
  <c r="C183" i="91"/>
  <c r="C180" i="91"/>
  <c r="C176" i="91"/>
  <c r="C172" i="91"/>
  <c r="C168" i="91"/>
  <c r="C163" i="91"/>
  <c r="C77" i="91"/>
  <c r="C76" i="91"/>
  <c r="C74" i="91"/>
  <c r="C73" i="91"/>
  <c r="G73" i="91" s="1"/>
  <c r="C49" i="91"/>
  <c r="C45" i="91"/>
  <c r="C41" i="91"/>
  <c r="C35" i="91"/>
  <c r="G35" i="91" s="1"/>
  <c r="C14" i="91"/>
  <c r="C16" i="91" s="1"/>
  <c r="G16" i="91" s="1"/>
  <c r="C8" i="91"/>
  <c r="G192" i="101"/>
  <c r="G191" i="101"/>
  <c r="G188" i="101"/>
  <c r="G187" i="101"/>
  <c r="G184" i="101"/>
  <c r="G183" i="101"/>
  <c r="G180" i="101"/>
  <c r="G179" i="101"/>
  <c r="G176" i="101"/>
  <c r="G175" i="101"/>
  <c r="G172" i="101"/>
  <c r="G171" i="101"/>
  <c r="G168" i="101"/>
  <c r="G167" i="101"/>
  <c r="G163" i="101"/>
  <c r="G162" i="101"/>
  <c r="G159" i="101"/>
  <c r="G158" i="101"/>
  <c r="G155" i="101"/>
  <c r="G154" i="101"/>
  <c r="G151" i="101"/>
  <c r="G150" i="101"/>
  <c r="G147" i="101"/>
  <c r="G146" i="101"/>
  <c r="G139" i="101"/>
  <c r="G138" i="101"/>
  <c r="G134" i="101"/>
  <c r="G131" i="101"/>
  <c r="G130" i="101"/>
  <c r="G127" i="101"/>
  <c r="G125" i="101"/>
  <c r="G122" i="101"/>
  <c r="G121" i="101"/>
  <c r="G120" i="101"/>
  <c r="G118" i="101"/>
  <c r="G117" i="101"/>
  <c r="G116" i="101"/>
  <c r="G113" i="101"/>
  <c r="G112" i="101"/>
  <c r="G111" i="101"/>
  <c r="G109" i="101"/>
  <c r="G108" i="101"/>
  <c r="G107" i="101"/>
  <c r="G103" i="101"/>
  <c r="G102" i="101"/>
  <c r="G101" i="101"/>
  <c r="G100" i="101"/>
  <c r="G99" i="101"/>
  <c r="G97" i="101"/>
  <c r="G96" i="101"/>
  <c r="G95" i="101"/>
  <c r="G94" i="101"/>
  <c r="G93" i="101"/>
  <c r="G91" i="101"/>
  <c r="G90" i="101"/>
  <c r="G89" i="101"/>
  <c r="G88" i="101"/>
  <c r="G87" i="101"/>
  <c r="G85" i="101"/>
  <c r="G84" i="101"/>
  <c r="G83" i="101"/>
  <c r="G82" i="101"/>
  <c r="G81" i="101"/>
  <c r="G77" i="101"/>
  <c r="G76" i="101"/>
  <c r="G75" i="101"/>
  <c r="G74" i="101"/>
  <c r="G73" i="101"/>
  <c r="G71" i="101"/>
  <c r="G70" i="101"/>
  <c r="G69" i="101"/>
  <c r="G68" i="101"/>
  <c r="G67" i="101"/>
  <c r="G65" i="101"/>
  <c r="G64" i="101"/>
  <c r="G61" i="101"/>
  <c r="G59" i="101"/>
  <c r="G58" i="101"/>
  <c r="G57" i="101"/>
  <c r="G56" i="101"/>
  <c r="G55" i="101"/>
  <c r="G49" i="101"/>
  <c r="G48" i="101"/>
  <c r="G45" i="101"/>
  <c r="G44" i="101"/>
  <c r="G41" i="101"/>
  <c r="G40" i="101"/>
  <c r="G35" i="101"/>
  <c r="G34" i="101"/>
  <c r="G33" i="101"/>
  <c r="G30" i="101"/>
  <c r="G27" i="101"/>
  <c r="G24" i="101"/>
  <c r="G21" i="101"/>
  <c r="G19" i="101"/>
  <c r="G16" i="101"/>
  <c r="G15" i="101"/>
  <c r="G14" i="101"/>
  <c r="G13" i="101"/>
  <c r="G12" i="101"/>
  <c r="G8" i="101"/>
  <c r="G7" i="101"/>
  <c r="G6" i="101"/>
  <c r="G192" i="100"/>
  <c r="G191" i="100"/>
  <c r="G188" i="100"/>
  <c r="G187" i="100"/>
  <c r="G184" i="100"/>
  <c r="G183" i="100"/>
  <c r="G180" i="100"/>
  <c r="G179" i="100"/>
  <c r="G176" i="100"/>
  <c r="G175" i="100"/>
  <c r="G172" i="100"/>
  <c r="G171" i="100"/>
  <c r="G168" i="100"/>
  <c r="G167" i="100"/>
  <c r="G163" i="100"/>
  <c r="G162" i="100"/>
  <c r="G159" i="100"/>
  <c r="G158" i="100"/>
  <c r="G155" i="100"/>
  <c r="G154" i="100"/>
  <c r="G151" i="100"/>
  <c r="G150" i="100"/>
  <c r="G147" i="100"/>
  <c r="G146" i="100"/>
  <c r="G139" i="100"/>
  <c r="G138" i="100"/>
  <c r="G134" i="100"/>
  <c r="G131" i="100"/>
  <c r="G130" i="100"/>
  <c r="G127" i="100"/>
  <c r="G125" i="100"/>
  <c r="G122" i="100"/>
  <c r="G121" i="100"/>
  <c r="G120" i="100"/>
  <c r="G118" i="100"/>
  <c r="G117" i="100"/>
  <c r="G116" i="100"/>
  <c r="G113" i="100"/>
  <c r="G112" i="100"/>
  <c r="G111" i="100"/>
  <c r="G109" i="100"/>
  <c r="G108" i="100"/>
  <c r="G107" i="100"/>
  <c r="G103" i="100"/>
  <c r="G102" i="100"/>
  <c r="G101" i="100"/>
  <c r="G100" i="100"/>
  <c r="G99" i="100"/>
  <c r="G97" i="100"/>
  <c r="G96" i="100"/>
  <c r="G95" i="100"/>
  <c r="G94" i="100"/>
  <c r="G93" i="100"/>
  <c r="G91" i="100"/>
  <c r="G90" i="100"/>
  <c r="G89" i="100"/>
  <c r="G88" i="100"/>
  <c r="G87" i="100"/>
  <c r="G85" i="100"/>
  <c r="G84" i="100"/>
  <c r="G83" i="100"/>
  <c r="G82" i="100"/>
  <c r="G81" i="100"/>
  <c r="G77" i="100"/>
  <c r="G76" i="100"/>
  <c r="G75" i="100"/>
  <c r="G74" i="100"/>
  <c r="G73" i="100"/>
  <c r="G71" i="100"/>
  <c r="G70" i="100"/>
  <c r="G69" i="100"/>
  <c r="G68" i="100"/>
  <c r="G67" i="100"/>
  <c r="G65" i="100"/>
  <c r="G64" i="100"/>
  <c r="G61" i="100"/>
  <c r="G59" i="100"/>
  <c r="G58" i="100"/>
  <c r="G57" i="100"/>
  <c r="G56" i="100"/>
  <c r="G55" i="100"/>
  <c r="G49" i="100"/>
  <c r="G48" i="100"/>
  <c r="G45" i="100"/>
  <c r="G44" i="100"/>
  <c r="G41" i="100"/>
  <c r="G40" i="100"/>
  <c r="G35" i="100"/>
  <c r="G34" i="100"/>
  <c r="G33" i="100"/>
  <c r="G30" i="100"/>
  <c r="G27" i="100"/>
  <c r="G24" i="100"/>
  <c r="G21" i="100"/>
  <c r="G19" i="100"/>
  <c r="G16" i="100"/>
  <c r="G15" i="100"/>
  <c r="G14" i="100"/>
  <c r="G13" i="100"/>
  <c r="G12" i="100"/>
  <c r="G8" i="100"/>
  <c r="G7" i="100"/>
  <c r="G6" i="100"/>
  <c r="G192" i="99"/>
  <c r="G191" i="99"/>
  <c r="G188" i="99"/>
  <c r="G187" i="99"/>
  <c r="G184" i="99"/>
  <c r="G183" i="99"/>
  <c r="G180" i="99"/>
  <c r="G179" i="99"/>
  <c r="G176" i="99"/>
  <c r="G175" i="99"/>
  <c r="G172" i="99"/>
  <c r="G171" i="99"/>
  <c r="G168" i="99"/>
  <c r="G167" i="99"/>
  <c r="G163" i="99"/>
  <c r="G162" i="99"/>
  <c r="G159" i="99"/>
  <c r="G158" i="99"/>
  <c r="G155" i="99"/>
  <c r="G154" i="99"/>
  <c r="G151" i="99"/>
  <c r="G150" i="99"/>
  <c r="G147" i="99"/>
  <c r="G146" i="99"/>
  <c r="G139" i="99"/>
  <c r="G138" i="99"/>
  <c r="G134" i="99"/>
  <c r="G131" i="99"/>
  <c r="G130" i="99"/>
  <c r="G127" i="99"/>
  <c r="G125" i="99"/>
  <c r="G122" i="99"/>
  <c r="G121" i="99"/>
  <c r="G120" i="99"/>
  <c r="G118" i="99"/>
  <c r="G117" i="99"/>
  <c r="G116" i="99"/>
  <c r="G113" i="99"/>
  <c r="G112" i="99"/>
  <c r="G111" i="99"/>
  <c r="G109" i="99"/>
  <c r="G108" i="99"/>
  <c r="G107" i="99"/>
  <c r="G103" i="99"/>
  <c r="G102" i="99"/>
  <c r="G101" i="99"/>
  <c r="G100" i="99"/>
  <c r="G99" i="99"/>
  <c r="G97" i="99"/>
  <c r="G96" i="99"/>
  <c r="G95" i="99"/>
  <c r="G94" i="99"/>
  <c r="G93" i="99"/>
  <c r="G91" i="99"/>
  <c r="G90" i="99"/>
  <c r="G89" i="99"/>
  <c r="G88" i="99"/>
  <c r="G87" i="99"/>
  <c r="G85" i="99"/>
  <c r="G84" i="99"/>
  <c r="G83" i="99"/>
  <c r="G82" i="99"/>
  <c r="G81" i="99"/>
  <c r="G77" i="99"/>
  <c r="G76" i="99"/>
  <c r="G75" i="99"/>
  <c r="G74" i="99"/>
  <c r="G73" i="99"/>
  <c r="G71" i="99"/>
  <c r="G70" i="99"/>
  <c r="G69" i="99"/>
  <c r="G68" i="99"/>
  <c r="G67" i="99"/>
  <c r="G65" i="99"/>
  <c r="G64" i="99"/>
  <c r="G61" i="99"/>
  <c r="G59" i="99"/>
  <c r="G58" i="99"/>
  <c r="G57" i="99"/>
  <c r="G56" i="99"/>
  <c r="G55" i="99"/>
  <c r="G49" i="99"/>
  <c r="G48" i="99"/>
  <c r="G45" i="99"/>
  <c r="G44" i="99"/>
  <c r="G41" i="99"/>
  <c r="G40" i="99"/>
  <c r="G35" i="99"/>
  <c r="G34" i="99"/>
  <c r="G33" i="99"/>
  <c r="G30" i="99"/>
  <c r="G27" i="99"/>
  <c r="G24" i="99"/>
  <c r="G21" i="99"/>
  <c r="G19" i="99"/>
  <c r="G16" i="99"/>
  <c r="G15" i="99"/>
  <c r="G14" i="99"/>
  <c r="G13" i="99"/>
  <c r="G12" i="99"/>
  <c r="G8" i="99"/>
  <c r="G7" i="99"/>
  <c r="G6" i="99"/>
  <c r="G188" i="98"/>
  <c r="G187" i="98"/>
  <c r="G180" i="98"/>
  <c r="G179" i="98"/>
  <c r="G176" i="98"/>
  <c r="G175" i="98"/>
  <c r="G172" i="98"/>
  <c r="G171" i="98"/>
  <c r="G168" i="98"/>
  <c r="G167" i="98"/>
  <c r="G163" i="98"/>
  <c r="G162" i="98"/>
  <c r="G155" i="98"/>
  <c r="G154" i="98"/>
  <c r="G151" i="98"/>
  <c r="G150" i="98"/>
  <c r="G147" i="98"/>
  <c r="G146" i="98"/>
  <c r="G139" i="98"/>
  <c r="G138" i="98"/>
  <c r="G134" i="98"/>
  <c r="G131" i="98"/>
  <c r="G130" i="98"/>
  <c r="G127" i="98"/>
  <c r="G125" i="98"/>
  <c r="G122" i="98"/>
  <c r="G121" i="98"/>
  <c r="G120" i="98"/>
  <c r="G118" i="98"/>
  <c r="G117" i="98"/>
  <c r="G116" i="98"/>
  <c r="G113" i="98"/>
  <c r="G112" i="98"/>
  <c r="G111" i="98"/>
  <c r="G109" i="98"/>
  <c r="G108" i="98"/>
  <c r="G107" i="98"/>
  <c r="G101" i="98"/>
  <c r="G100" i="98"/>
  <c r="G99" i="98"/>
  <c r="G97" i="98"/>
  <c r="G96" i="98"/>
  <c r="G95" i="98"/>
  <c r="G94" i="98"/>
  <c r="G93" i="98"/>
  <c r="G91" i="98"/>
  <c r="G90" i="98"/>
  <c r="G89" i="98"/>
  <c r="G88" i="98"/>
  <c r="G87" i="98"/>
  <c r="G85" i="98"/>
  <c r="G84" i="98"/>
  <c r="G83" i="98"/>
  <c r="G82" i="98"/>
  <c r="G81" i="98"/>
  <c r="G77" i="98"/>
  <c r="G76" i="98"/>
  <c r="G75" i="98"/>
  <c r="G74" i="98"/>
  <c r="G73" i="98"/>
  <c r="G71" i="98"/>
  <c r="G70" i="98"/>
  <c r="G69" i="98"/>
  <c r="G68" i="98"/>
  <c r="G67" i="98"/>
  <c r="G65" i="98"/>
  <c r="G64" i="98"/>
  <c r="G61" i="98"/>
  <c r="G59" i="98"/>
  <c r="G58" i="98"/>
  <c r="G57" i="98"/>
  <c r="G56" i="98"/>
  <c r="G55" i="98"/>
  <c r="G49" i="98"/>
  <c r="G48" i="98"/>
  <c r="G45" i="98"/>
  <c r="G44" i="98"/>
  <c r="G41" i="98"/>
  <c r="G40" i="98"/>
  <c r="G35" i="98"/>
  <c r="G34" i="98"/>
  <c r="G33" i="98"/>
  <c r="G30" i="98"/>
  <c r="G24" i="98"/>
  <c r="G21" i="98"/>
  <c r="G19" i="98"/>
  <c r="G16" i="98"/>
  <c r="G15" i="98"/>
  <c r="G14" i="98"/>
  <c r="G13" i="98"/>
  <c r="G12" i="98"/>
  <c r="G8" i="98"/>
  <c r="G7" i="98"/>
  <c r="G6" i="98"/>
  <c r="G188" i="97"/>
  <c r="G187" i="97"/>
  <c r="G180" i="97"/>
  <c r="G179" i="97"/>
  <c r="G176" i="97"/>
  <c r="G175" i="97"/>
  <c r="G172" i="97"/>
  <c r="G171" i="97"/>
  <c r="G168" i="97"/>
  <c r="G167" i="97"/>
  <c r="G163" i="97"/>
  <c r="G162" i="97"/>
  <c r="G155" i="97"/>
  <c r="G154" i="97"/>
  <c r="G151" i="97"/>
  <c r="G150" i="97"/>
  <c r="G147" i="97"/>
  <c r="G146" i="97"/>
  <c r="G139" i="97"/>
  <c r="G138" i="97"/>
  <c r="G134" i="97"/>
  <c r="G131" i="97"/>
  <c r="G130" i="97"/>
  <c r="G127" i="97"/>
  <c r="G125" i="97"/>
  <c r="G122" i="97"/>
  <c r="G121" i="97"/>
  <c r="G120" i="97"/>
  <c r="G118" i="97"/>
  <c r="G117" i="97"/>
  <c r="G116" i="97"/>
  <c r="G113" i="97"/>
  <c r="G112" i="97"/>
  <c r="G111" i="97"/>
  <c r="G109" i="97"/>
  <c r="G108" i="97"/>
  <c r="G107" i="97"/>
  <c r="G101" i="97"/>
  <c r="G100" i="97"/>
  <c r="G99" i="97"/>
  <c r="G97" i="97"/>
  <c r="G96" i="97"/>
  <c r="G95" i="97"/>
  <c r="G94" i="97"/>
  <c r="G93" i="97"/>
  <c r="G91" i="97"/>
  <c r="G90" i="97"/>
  <c r="G89" i="97"/>
  <c r="G88" i="97"/>
  <c r="G87" i="97"/>
  <c r="G85" i="97"/>
  <c r="G84" i="97"/>
  <c r="G83" i="97"/>
  <c r="G82" i="97"/>
  <c r="G81" i="97"/>
  <c r="G77" i="97"/>
  <c r="G76" i="97"/>
  <c r="G75" i="97"/>
  <c r="G74" i="97"/>
  <c r="G73" i="97"/>
  <c r="G71" i="97"/>
  <c r="G70" i="97"/>
  <c r="G69" i="97"/>
  <c r="G68" i="97"/>
  <c r="G67" i="97"/>
  <c r="G65" i="97"/>
  <c r="G64" i="97"/>
  <c r="G61" i="97"/>
  <c r="G59" i="97"/>
  <c r="G58" i="97"/>
  <c r="G57" i="97"/>
  <c r="G56" i="97"/>
  <c r="G55" i="97"/>
  <c r="G49" i="97"/>
  <c r="G48" i="97"/>
  <c r="G45" i="97"/>
  <c r="G44" i="97"/>
  <c r="G41" i="97"/>
  <c r="G40" i="97"/>
  <c r="G35" i="97"/>
  <c r="G34" i="97"/>
  <c r="G33" i="97"/>
  <c r="G30" i="97"/>
  <c r="G24" i="97"/>
  <c r="G21" i="97"/>
  <c r="G19" i="97"/>
  <c r="G16" i="97"/>
  <c r="G15" i="97"/>
  <c r="G14" i="97"/>
  <c r="G13" i="97"/>
  <c r="G12" i="97"/>
  <c r="G8" i="97"/>
  <c r="G7" i="97"/>
  <c r="G6" i="97"/>
  <c r="G188" i="96"/>
  <c r="G187" i="96"/>
  <c r="G180" i="96"/>
  <c r="G179" i="96"/>
  <c r="G176" i="96"/>
  <c r="G175" i="96"/>
  <c r="G172" i="96"/>
  <c r="G171" i="96"/>
  <c r="G168" i="96"/>
  <c r="G167" i="96"/>
  <c r="G163" i="96"/>
  <c r="G162" i="96"/>
  <c r="G155" i="96"/>
  <c r="G154" i="96"/>
  <c r="G151" i="96"/>
  <c r="G150" i="96"/>
  <c r="G147" i="96"/>
  <c r="G146" i="96"/>
  <c r="G139" i="96"/>
  <c r="G138" i="96"/>
  <c r="G134" i="96"/>
  <c r="G131" i="96"/>
  <c r="G130" i="96"/>
  <c r="G127" i="96"/>
  <c r="G125" i="96"/>
  <c r="G122" i="96"/>
  <c r="G121" i="96"/>
  <c r="G120" i="96"/>
  <c r="G118" i="96"/>
  <c r="G117" i="96"/>
  <c r="G116" i="96"/>
  <c r="G113" i="96"/>
  <c r="G112" i="96"/>
  <c r="G111" i="96"/>
  <c r="G109" i="96"/>
  <c r="G108" i="96"/>
  <c r="G107" i="96"/>
  <c r="G101" i="96"/>
  <c r="G100" i="96"/>
  <c r="G99" i="96"/>
  <c r="G97" i="96"/>
  <c r="G96" i="96"/>
  <c r="G95" i="96"/>
  <c r="G94" i="96"/>
  <c r="G93" i="96"/>
  <c r="G91" i="96"/>
  <c r="G90" i="96"/>
  <c r="G89" i="96"/>
  <c r="G88" i="96"/>
  <c r="G87" i="96"/>
  <c r="G85" i="96"/>
  <c r="G84" i="96"/>
  <c r="G83" i="96"/>
  <c r="G82" i="96"/>
  <c r="G81" i="96"/>
  <c r="G77" i="96"/>
  <c r="G76" i="96"/>
  <c r="G75" i="96"/>
  <c r="G74" i="96"/>
  <c r="G73" i="96"/>
  <c r="G71" i="96"/>
  <c r="G70" i="96"/>
  <c r="G69" i="96"/>
  <c r="G68" i="96"/>
  <c r="G67" i="96"/>
  <c r="G65" i="96"/>
  <c r="G64" i="96"/>
  <c r="G61" i="96"/>
  <c r="G59" i="96"/>
  <c r="G58" i="96"/>
  <c r="G57" i="96"/>
  <c r="G56" i="96"/>
  <c r="G55" i="96"/>
  <c r="G49" i="96"/>
  <c r="G48" i="96"/>
  <c r="G45" i="96"/>
  <c r="G44" i="96"/>
  <c r="G41" i="96"/>
  <c r="G40" i="96"/>
  <c r="G35" i="96"/>
  <c r="G34" i="96"/>
  <c r="G33" i="96"/>
  <c r="G30" i="96"/>
  <c r="G24" i="96"/>
  <c r="G21" i="96"/>
  <c r="G19" i="96"/>
  <c r="G16" i="96"/>
  <c r="G15" i="96"/>
  <c r="G14" i="96"/>
  <c r="G13" i="96"/>
  <c r="G12" i="96"/>
  <c r="G8" i="96"/>
  <c r="G7" i="96"/>
  <c r="G6" i="96"/>
  <c r="G188" i="95"/>
  <c r="G187" i="95"/>
  <c r="G180" i="95"/>
  <c r="G179" i="95"/>
  <c r="G176" i="95"/>
  <c r="G175" i="95"/>
  <c r="G172" i="95"/>
  <c r="G171" i="95"/>
  <c r="G168" i="95"/>
  <c r="G167" i="95"/>
  <c r="G163" i="95"/>
  <c r="G162" i="95"/>
  <c r="G155" i="95"/>
  <c r="G154" i="95"/>
  <c r="G151" i="95"/>
  <c r="G150" i="95"/>
  <c r="G147" i="95"/>
  <c r="G146" i="95"/>
  <c r="G139" i="95"/>
  <c r="G138" i="95"/>
  <c r="G134" i="95"/>
  <c r="G131" i="95"/>
  <c r="G130" i="95"/>
  <c r="G127" i="95"/>
  <c r="G125" i="95"/>
  <c r="G122" i="95"/>
  <c r="G121" i="95"/>
  <c r="G120" i="95"/>
  <c r="G118" i="95"/>
  <c r="G117" i="95"/>
  <c r="G116" i="95"/>
  <c r="G113" i="95"/>
  <c r="G112" i="95"/>
  <c r="G111" i="95"/>
  <c r="G109" i="95"/>
  <c r="G108" i="95"/>
  <c r="G107" i="95"/>
  <c r="G101" i="95"/>
  <c r="G100" i="95"/>
  <c r="G99" i="95"/>
  <c r="G97" i="95"/>
  <c r="G96" i="95"/>
  <c r="G95" i="95"/>
  <c r="G94" i="95"/>
  <c r="G93" i="95"/>
  <c r="G91" i="95"/>
  <c r="G90" i="95"/>
  <c r="G89" i="95"/>
  <c r="G88" i="95"/>
  <c r="G87" i="95"/>
  <c r="G85" i="95"/>
  <c r="G84" i="95"/>
  <c r="G83" i="95"/>
  <c r="G82" i="95"/>
  <c r="G81" i="95"/>
  <c r="G77" i="95"/>
  <c r="G76" i="95"/>
  <c r="G75" i="95"/>
  <c r="G74" i="95"/>
  <c r="G73" i="95"/>
  <c r="G71" i="95"/>
  <c r="G70" i="95"/>
  <c r="G69" i="95"/>
  <c r="G68" i="95"/>
  <c r="G67" i="95"/>
  <c r="G65" i="95"/>
  <c r="G64" i="95"/>
  <c r="G61" i="95"/>
  <c r="G59" i="95"/>
  <c r="G58" i="95"/>
  <c r="G57" i="95"/>
  <c r="G56" i="95"/>
  <c r="G55" i="95"/>
  <c r="G49" i="95"/>
  <c r="G48" i="95"/>
  <c r="G45" i="95"/>
  <c r="G44" i="95"/>
  <c r="G41" i="95"/>
  <c r="G40" i="95"/>
  <c r="G35" i="95"/>
  <c r="G34" i="95"/>
  <c r="G33" i="95"/>
  <c r="G30" i="95"/>
  <c r="G24" i="95"/>
  <c r="G21" i="95"/>
  <c r="G19" i="95"/>
  <c r="G16" i="95"/>
  <c r="G15" i="95"/>
  <c r="G14" i="95"/>
  <c r="G13" i="95"/>
  <c r="G12" i="95"/>
  <c r="G8" i="95"/>
  <c r="G7" i="95"/>
  <c r="G6" i="95"/>
  <c r="F188" i="94"/>
  <c r="F187" i="94"/>
  <c r="F180" i="94"/>
  <c r="F179" i="94"/>
  <c r="F176" i="94"/>
  <c r="F175" i="94"/>
  <c r="F172" i="94"/>
  <c r="F171" i="94"/>
  <c r="F168" i="94"/>
  <c r="F167" i="94"/>
  <c r="F163" i="94"/>
  <c r="F162" i="94"/>
  <c r="F155" i="94"/>
  <c r="F154" i="94"/>
  <c r="F151" i="94"/>
  <c r="F150" i="94"/>
  <c r="F147" i="94"/>
  <c r="F146" i="94"/>
  <c r="F139" i="94"/>
  <c r="F138" i="94"/>
  <c r="F134" i="94"/>
  <c r="F131" i="94"/>
  <c r="F130" i="94"/>
  <c r="F127" i="94"/>
  <c r="F125" i="94"/>
  <c r="F122" i="94"/>
  <c r="F121" i="94"/>
  <c r="F120" i="94"/>
  <c r="F118" i="94"/>
  <c r="F117" i="94"/>
  <c r="F116" i="94"/>
  <c r="F113" i="94"/>
  <c r="F112" i="94"/>
  <c r="F111" i="94"/>
  <c r="F109" i="94"/>
  <c r="F108" i="94"/>
  <c r="F107" i="94"/>
  <c r="F101" i="94"/>
  <c r="F100" i="94"/>
  <c r="F99" i="94"/>
  <c r="F97" i="94"/>
  <c r="F96" i="94"/>
  <c r="F95" i="94"/>
  <c r="F94" i="94"/>
  <c r="F93" i="94"/>
  <c r="F91" i="94"/>
  <c r="F90" i="94"/>
  <c r="F89" i="94"/>
  <c r="F88" i="94"/>
  <c r="F87" i="94"/>
  <c r="F85" i="94"/>
  <c r="F84" i="94"/>
  <c r="F83" i="94"/>
  <c r="F82" i="94"/>
  <c r="F81" i="94"/>
  <c r="F77" i="94"/>
  <c r="F76" i="94"/>
  <c r="F75" i="94"/>
  <c r="F74" i="94"/>
  <c r="F73" i="94"/>
  <c r="F71" i="94"/>
  <c r="F70" i="94"/>
  <c r="F69" i="94"/>
  <c r="F68" i="94"/>
  <c r="F67" i="94"/>
  <c r="F65" i="94"/>
  <c r="F64" i="94"/>
  <c r="F61" i="94"/>
  <c r="F59" i="94"/>
  <c r="F58" i="94"/>
  <c r="F57" i="94"/>
  <c r="F56" i="94"/>
  <c r="F55" i="94"/>
  <c r="F49" i="94"/>
  <c r="F48" i="94"/>
  <c r="F45" i="94"/>
  <c r="F44" i="94"/>
  <c r="F41" i="94"/>
  <c r="F40" i="94"/>
  <c r="F35" i="94"/>
  <c r="F34" i="94"/>
  <c r="F33" i="94"/>
  <c r="F30" i="94"/>
  <c r="F24" i="94"/>
  <c r="F21" i="94"/>
  <c r="F19" i="94"/>
  <c r="F16" i="94"/>
  <c r="F15" i="94"/>
  <c r="F14" i="94"/>
  <c r="F13" i="94"/>
  <c r="F12" i="94"/>
  <c r="F8" i="94"/>
  <c r="F7" i="94"/>
  <c r="F6" i="94"/>
  <c r="F188" i="93"/>
  <c r="F187" i="93"/>
  <c r="F180" i="93"/>
  <c r="F179" i="93"/>
  <c r="F176" i="93"/>
  <c r="F175" i="93"/>
  <c r="F172" i="93"/>
  <c r="F171" i="93"/>
  <c r="F168" i="93"/>
  <c r="F167" i="93"/>
  <c r="F163" i="93"/>
  <c r="F162" i="93"/>
  <c r="F155" i="93"/>
  <c r="F154" i="93"/>
  <c r="F151" i="93"/>
  <c r="F150" i="93"/>
  <c r="F147" i="93"/>
  <c r="F146" i="93"/>
  <c r="F139" i="93"/>
  <c r="F138" i="93"/>
  <c r="F134" i="93"/>
  <c r="F131" i="93"/>
  <c r="F130" i="93"/>
  <c r="F127" i="93"/>
  <c r="F125" i="93"/>
  <c r="F122" i="93"/>
  <c r="F121" i="93"/>
  <c r="F120" i="93"/>
  <c r="F118" i="93"/>
  <c r="F117" i="93"/>
  <c r="F116" i="93"/>
  <c r="F113" i="93"/>
  <c r="F112" i="93"/>
  <c r="F111" i="93"/>
  <c r="F109" i="93"/>
  <c r="F108" i="93"/>
  <c r="F107" i="93"/>
  <c r="F101" i="93"/>
  <c r="F100" i="93"/>
  <c r="F99" i="93"/>
  <c r="F97" i="93"/>
  <c r="F96" i="93"/>
  <c r="F95" i="93"/>
  <c r="F94" i="93"/>
  <c r="F93" i="93"/>
  <c r="F91" i="93"/>
  <c r="F90" i="93"/>
  <c r="F89" i="93"/>
  <c r="F88" i="93"/>
  <c r="F87" i="93"/>
  <c r="F85" i="93"/>
  <c r="F84" i="93"/>
  <c r="F83" i="93"/>
  <c r="F82" i="93"/>
  <c r="F81" i="93"/>
  <c r="F77" i="93"/>
  <c r="F76" i="93"/>
  <c r="F75" i="93"/>
  <c r="F74" i="93"/>
  <c r="F73" i="93"/>
  <c r="F71" i="93"/>
  <c r="F70" i="93"/>
  <c r="F69" i="93"/>
  <c r="F68" i="93"/>
  <c r="F67" i="93"/>
  <c r="F65" i="93"/>
  <c r="F64" i="93"/>
  <c r="F61" i="93"/>
  <c r="F59" i="93"/>
  <c r="F58" i="93"/>
  <c r="F57" i="93"/>
  <c r="F56" i="93"/>
  <c r="F55" i="93"/>
  <c r="F49" i="93"/>
  <c r="F48" i="93"/>
  <c r="F45" i="93"/>
  <c r="F44" i="93"/>
  <c r="F41" i="93"/>
  <c r="F40" i="93"/>
  <c r="F35" i="93"/>
  <c r="F34" i="93"/>
  <c r="F33" i="93"/>
  <c r="F30" i="93"/>
  <c r="F24" i="93"/>
  <c r="F21" i="93"/>
  <c r="F19" i="93"/>
  <c r="F16" i="93"/>
  <c r="F15" i="93"/>
  <c r="F14" i="93"/>
  <c r="F13" i="93"/>
  <c r="F12" i="93"/>
  <c r="F8" i="93"/>
  <c r="F7" i="93"/>
  <c r="F6" i="93"/>
  <c r="F188" i="92"/>
  <c r="F187" i="92"/>
  <c r="F180" i="92"/>
  <c r="F179" i="92"/>
  <c r="F176" i="92"/>
  <c r="F175" i="92"/>
  <c r="F172" i="92"/>
  <c r="F171" i="92"/>
  <c r="F168" i="92"/>
  <c r="F167" i="92"/>
  <c r="F163" i="92"/>
  <c r="F162" i="92"/>
  <c r="F155" i="92"/>
  <c r="F154" i="92"/>
  <c r="F151" i="92"/>
  <c r="F150" i="92"/>
  <c r="F147" i="92"/>
  <c r="F146" i="92"/>
  <c r="F139" i="92"/>
  <c r="F138" i="92"/>
  <c r="F134" i="92"/>
  <c r="F131" i="92"/>
  <c r="F130" i="92"/>
  <c r="F127" i="92"/>
  <c r="F125" i="92"/>
  <c r="F122" i="92"/>
  <c r="F121" i="92"/>
  <c r="F120" i="92"/>
  <c r="F118" i="92"/>
  <c r="F117" i="92"/>
  <c r="F116" i="92"/>
  <c r="F113" i="92"/>
  <c r="F112" i="92"/>
  <c r="F111" i="92"/>
  <c r="F109" i="92"/>
  <c r="F108" i="92"/>
  <c r="F107" i="92"/>
  <c r="F101" i="92"/>
  <c r="F100" i="92"/>
  <c r="F99" i="92"/>
  <c r="F97" i="92"/>
  <c r="F96" i="92"/>
  <c r="F95" i="92"/>
  <c r="F94" i="92"/>
  <c r="F93" i="92"/>
  <c r="F91" i="92"/>
  <c r="F90" i="92"/>
  <c r="F89" i="92"/>
  <c r="F88" i="92"/>
  <c r="F87" i="92"/>
  <c r="F85" i="92"/>
  <c r="F84" i="92"/>
  <c r="F83" i="92"/>
  <c r="F82" i="92"/>
  <c r="F81" i="92"/>
  <c r="F77" i="92"/>
  <c r="F76" i="92"/>
  <c r="F75" i="92"/>
  <c r="F74" i="92"/>
  <c r="F73" i="92"/>
  <c r="F71" i="92"/>
  <c r="F70" i="92"/>
  <c r="F69" i="92"/>
  <c r="F68" i="92"/>
  <c r="F67" i="92"/>
  <c r="F65" i="92"/>
  <c r="F64" i="92"/>
  <c r="F61" i="92"/>
  <c r="F59" i="92"/>
  <c r="F58" i="92"/>
  <c r="F57" i="92"/>
  <c r="F56" i="92"/>
  <c r="F55" i="92"/>
  <c r="F49" i="92"/>
  <c r="F48" i="92"/>
  <c r="F45" i="92"/>
  <c r="F44" i="92"/>
  <c r="F41" i="92"/>
  <c r="F40" i="92"/>
  <c r="F35" i="92"/>
  <c r="F34" i="92"/>
  <c r="F33" i="92"/>
  <c r="F30" i="92"/>
  <c r="F24" i="92"/>
  <c r="F21" i="92"/>
  <c r="F19" i="92"/>
  <c r="F16" i="92"/>
  <c r="F15" i="92"/>
  <c r="F14" i="92"/>
  <c r="F13" i="92"/>
  <c r="F12" i="92"/>
  <c r="F8" i="92"/>
  <c r="F7" i="92"/>
  <c r="F6" i="92"/>
  <c r="G188" i="91"/>
  <c r="G187" i="91"/>
  <c r="G180" i="91"/>
  <c r="G179" i="91"/>
  <c r="G176" i="91"/>
  <c r="G175" i="91"/>
  <c r="G172" i="91"/>
  <c r="G171" i="91"/>
  <c r="G168" i="91"/>
  <c r="G167" i="91"/>
  <c r="G163" i="91"/>
  <c r="G162" i="91"/>
  <c r="G155" i="91"/>
  <c r="G154" i="91"/>
  <c r="G151" i="91"/>
  <c r="G150" i="91"/>
  <c r="G147" i="91"/>
  <c r="G146" i="91"/>
  <c r="G139" i="91"/>
  <c r="G138" i="91"/>
  <c r="G134" i="91"/>
  <c r="G131" i="91"/>
  <c r="G130" i="91"/>
  <c r="G127" i="91"/>
  <c r="G125" i="91"/>
  <c r="G122" i="91"/>
  <c r="G121" i="91"/>
  <c r="G120" i="91"/>
  <c r="G118" i="91"/>
  <c r="G117" i="91"/>
  <c r="G116" i="91"/>
  <c r="G113" i="91"/>
  <c r="G112" i="91"/>
  <c r="G111" i="91"/>
  <c r="G109" i="91"/>
  <c r="G108" i="91"/>
  <c r="G107" i="91"/>
  <c r="G101" i="91"/>
  <c r="G100" i="91"/>
  <c r="G99" i="91"/>
  <c r="G97" i="91"/>
  <c r="G96" i="91"/>
  <c r="G95" i="91"/>
  <c r="G94" i="91"/>
  <c r="G93" i="91"/>
  <c r="G91" i="91"/>
  <c r="G90" i="91"/>
  <c r="G89" i="91"/>
  <c r="G88" i="91"/>
  <c r="G87" i="91"/>
  <c r="G85" i="91"/>
  <c r="G84" i="91"/>
  <c r="G83" i="91"/>
  <c r="G82" i="91"/>
  <c r="G81" i="91"/>
  <c r="G77" i="91"/>
  <c r="G76" i="91"/>
  <c r="G75" i="91"/>
  <c r="G74" i="91"/>
  <c r="G71" i="91"/>
  <c r="G70" i="91"/>
  <c r="G69" i="91"/>
  <c r="G68" i="91"/>
  <c r="G67" i="91"/>
  <c r="G65" i="91"/>
  <c r="G64" i="91"/>
  <c r="G61" i="91"/>
  <c r="G59" i="91"/>
  <c r="G58" i="91"/>
  <c r="G57" i="91"/>
  <c r="G56" i="91"/>
  <c r="G55" i="91"/>
  <c r="G49" i="91"/>
  <c r="G48" i="91"/>
  <c r="G45" i="91"/>
  <c r="G44" i="91"/>
  <c r="G41" i="91"/>
  <c r="G40" i="91"/>
  <c r="G34" i="91"/>
  <c r="G33" i="91"/>
  <c r="G30" i="91"/>
  <c r="G24" i="91"/>
  <c r="G19" i="91"/>
  <c r="G15" i="91"/>
  <c r="G14" i="91"/>
  <c r="G13" i="91"/>
  <c r="G12" i="91"/>
  <c r="G8" i="91"/>
  <c r="G7" i="91"/>
  <c r="G6" i="91"/>
  <c r="G134" i="68"/>
  <c r="G131" i="68"/>
  <c r="G130" i="68"/>
  <c r="G122" i="68"/>
  <c r="G121" i="68"/>
  <c r="G120" i="68"/>
  <c r="G118" i="68"/>
  <c r="G117" i="68"/>
  <c r="G116" i="68"/>
  <c r="G113" i="68"/>
  <c r="G112" i="68"/>
  <c r="G111" i="68"/>
  <c r="G109" i="68"/>
  <c r="G108" i="68"/>
  <c r="G107" i="68"/>
  <c r="G97" i="68"/>
  <c r="G96" i="68"/>
  <c r="G91" i="68"/>
  <c r="G90" i="68"/>
  <c r="G89" i="68"/>
  <c r="G88" i="68"/>
  <c r="G87" i="68"/>
  <c r="G85" i="68"/>
  <c r="G84" i="68"/>
  <c r="G75" i="68"/>
  <c r="G74" i="68"/>
  <c r="G73" i="68"/>
  <c r="G71" i="68"/>
  <c r="G70" i="68"/>
  <c r="G69" i="68"/>
  <c r="G68" i="68"/>
  <c r="G67" i="68"/>
  <c r="G59" i="68"/>
  <c r="G58" i="68"/>
  <c r="G57" i="68"/>
  <c r="G56" i="68"/>
  <c r="G55" i="68"/>
  <c r="G49" i="68"/>
  <c r="G48" i="68"/>
  <c r="G45" i="68"/>
  <c r="G44" i="68"/>
  <c r="G41" i="68"/>
  <c r="G40" i="68"/>
  <c r="G35" i="68"/>
  <c r="G34" i="68"/>
  <c r="G33" i="68"/>
  <c r="G30" i="68"/>
  <c r="G24" i="68"/>
  <c r="G21" i="68"/>
  <c r="G19" i="68"/>
  <c r="G16" i="68"/>
  <c r="G15" i="68"/>
  <c r="G14" i="68"/>
  <c r="G13" i="68"/>
  <c r="G12" i="68"/>
  <c r="G8" i="68"/>
  <c r="G7" i="68"/>
  <c r="G6" i="68"/>
  <c r="C21" i="91" l="1"/>
  <c r="G21" i="91" s="1"/>
  <c r="D35" i="68"/>
  <c r="E27" i="68"/>
  <c r="F188" i="68"/>
  <c r="F187" i="68"/>
  <c r="F21" i="68"/>
  <c r="E184" i="68"/>
  <c r="E192" i="68" s="1"/>
  <c r="E183" i="68"/>
  <c r="E191" i="68" s="1"/>
  <c r="E159" i="68"/>
  <c r="E158" i="68"/>
  <c r="G77" i="68"/>
  <c r="G76" i="68"/>
  <c r="E74" i="68"/>
  <c r="E73" i="68"/>
  <c r="E35" i="68"/>
  <c r="D8" i="68" l="1"/>
  <c r="C188" i="68" l="1"/>
  <c r="C184" i="68"/>
  <c r="C183" i="68"/>
  <c r="C180" i="68"/>
  <c r="C176" i="68"/>
  <c r="C172" i="68"/>
  <c r="C168" i="68"/>
  <c r="C163" i="68"/>
  <c r="C77" i="68"/>
  <c r="C76" i="68"/>
  <c r="C74" i="68"/>
  <c r="C73" i="68"/>
  <c r="C49" i="68"/>
  <c r="C45" i="68"/>
  <c r="C41" i="68"/>
  <c r="C35" i="68"/>
  <c r="C21" i="68"/>
  <c r="C192" i="101"/>
  <c r="C191" i="101"/>
  <c r="F184" i="101"/>
  <c r="F183" i="101"/>
  <c r="F159" i="101"/>
  <c r="F192" i="101" s="1"/>
  <c r="F158" i="101"/>
  <c r="F191" i="101" s="1"/>
  <c r="F103" i="101"/>
  <c r="E103" i="101"/>
  <c r="D103" i="101"/>
  <c r="C103" i="101"/>
  <c r="F102" i="101"/>
  <c r="E102" i="101"/>
  <c r="D102" i="101"/>
  <c r="C102" i="101"/>
  <c r="F27" i="101"/>
  <c r="E27" i="101"/>
  <c r="D27" i="101"/>
  <c r="C27" i="101"/>
  <c r="C192" i="100"/>
  <c r="C191" i="100"/>
  <c r="F184" i="100"/>
  <c r="F183" i="100"/>
  <c r="F159" i="100"/>
  <c r="F192" i="100" s="1"/>
  <c r="F158" i="100"/>
  <c r="F191" i="100" s="1"/>
  <c r="F103" i="100"/>
  <c r="E103" i="100"/>
  <c r="D103" i="100"/>
  <c r="C103" i="100"/>
  <c r="F102" i="100"/>
  <c r="E102" i="100"/>
  <c r="D102" i="100"/>
  <c r="C102" i="100"/>
  <c r="F27" i="100"/>
  <c r="E27" i="100"/>
  <c r="D27" i="100"/>
  <c r="C27" i="100"/>
  <c r="C192" i="99"/>
  <c r="C191" i="99"/>
  <c r="F184" i="99"/>
  <c r="F183" i="99"/>
  <c r="F159" i="99"/>
  <c r="F192" i="99" s="1"/>
  <c r="F158" i="99"/>
  <c r="F191" i="99" s="1"/>
  <c r="F103" i="99"/>
  <c r="E103" i="99"/>
  <c r="D103" i="99"/>
  <c r="C103" i="99"/>
  <c r="F102" i="99"/>
  <c r="E102" i="99"/>
  <c r="D102" i="99"/>
  <c r="C102" i="99"/>
  <c r="F27" i="99"/>
  <c r="E27" i="99"/>
  <c r="D27" i="99"/>
  <c r="C27" i="99"/>
  <c r="C192" i="98"/>
  <c r="C191" i="98"/>
  <c r="F184" i="98"/>
  <c r="G184" i="98" s="1"/>
  <c r="F183" i="98"/>
  <c r="G183" i="98" s="1"/>
  <c r="F159" i="98"/>
  <c r="F158" i="98"/>
  <c r="F103" i="98"/>
  <c r="G103" i="98" s="1"/>
  <c r="E103" i="98"/>
  <c r="F102" i="98"/>
  <c r="E102" i="98"/>
  <c r="F27" i="98"/>
  <c r="E27" i="98"/>
  <c r="D27" i="98"/>
  <c r="C27" i="98"/>
  <c r="C192" i="97"/>
  <c r="C191" i="97"/>
  <c r="F184" i="97"/>
  <c r="G184" i="97" s="1"/>
  <c r="F183" i="97"/>
  <c r="G183" i="97" s="1"/>
  <c r="F159" i="97"/>
  <c r="F158" i="97"/>
  <c r="F103" i="97"/>
  <c r="E103" i="97"/>
  <c r="D103" i="97"/>
  <c r="C103" i="97"/>
  <c r="F102" i="97"/>
  <c r="E102" i="97"/>
  <c r="D102" i="97"/>
  <c r="C102" i="97"/>
  <c r="F27" i="97"/>
  <c r="E27" i="97"/>
  <c r="D27" i="97"/>
  <c r="C27" i="97"/>
  <c r="C192" i="96"/>
  <c r="C191" i="96"/>
  <c r="F184" i="96"/>
  <c r="G184" i="96" s="1"/>
  <c r="F183" i="96"/>
  <c r="G183" i="96" s="1"/>
  <c r="F159" i="96"/>
  <c r="F158" i="96"/>
  <c r="F103" i="96"/>
  <c r="E103" i="96"/>
  <c r="D103" i="96"/>
  <c r="C103" i="96"/>
  <c r="F102" i="96"/>
  <c r="E102" i="96"/>
  <c r="D102" i="96"/>
  <c r="C102" i="96"/>
  <c r="F27" i="96"/>
  <c r="D27" i="96"/>
  <c r="C27" i="96"/>
  <c r="C192" i="95"/>
  <c r="C191" i="95"/>
  <c r="G184" i="95"/>
  <c r="G183" i="95"/>
  <c r="F103" i="95"/>
  <c r="E103" i="95"/>
  <c r="F102" i="95"/>
  <c r="E102" i="95"/>
  <c r="F27" i="95"/>
  <c r="E27" i="95"/>
  <c r="D27" i="95"/>
  <c r="C27" i="95"/>
  <c r="B192" i="94"/>
  <c r="B191" i="94"/>
  <c r="E159" i="94"/>
  <c r="E188" i="94" s="1"/>
  <c r="F184" i="94" s="1"/>
  <c r="E158" i="94"/>
  <c r="E187" i="94" s="1"/>
  <c r="F183" i="94" s="1"/>
  <c r="E103" i="94"/>
  <c r="D103" i="94"/>
  <c r="C103" i="94"/>
  <c r="B103" i="94"/>
  <c r="E102" i="94"/>
  <c r="D102" i="94"/>
  <c r="C102" i="94"/>
  <c r="B102" i="94"/>
  <c r="E27" i="94"/>
  <c r="D27" i="94"/>
  <c r="C27" i="94"/>
  <c r="B27" i="94"/>
  <c r="B192" i="93"/>
  <c r="B191" i="93"/>
  <c r="F184" i="93"/>
  <c r="F183" i="93"/>
  <c r="E159" i="93"/>
  <c r="E158" i="93"/>
  <c r="E103" i="93"/>
  <c r="D103" i="93"/>
  <c r="C103" i="93"/>
  <c r="B103" i="93"/>
  <c r="E102" i="93"/>
  <c r="D102" i="93"/>
  <c r="C102" i="93"/>
  <c r="B102" i="93"/>
  <c r="E27" i="93"/>
  <c r="D27" i="93"/>
  <c r="C27" i="93"/>
  <c r="B27" i="93"/>
  <c r="B192" i="92"/>
  <c r="B191" i="92"/>
  <c r="E184" i="92"/>
  <c r="F184" i="92" s="1"/>
  <c r="E183" i="92"/>
  <c r="F183" i="92" s="1"/>
  <c r="E159" i="92"/>
  <c r="F159" i="92" s="1"/>
  <c r="E158" i="92"/>
  <c r="E103" i="92"/>
  <c r="D103" i="92"/>
  <c r="C103" i="92"/>
  <c r="E102" i="92"/>
  <c r="D102" i="92"/>
  <c r="C102" i="92"/>
  <c r="E27" i="92"/>
  <c r="D27" i="92"/>
  <c r="C27" i="92"/>
  <c r="B27" i="92"/>
  <c r="C192" i="91"/>
  <c r="C191" i="91"/>
  <c r="G184" i="91"/>
  <c r="G183" i="91"/>
  <c r="E103" i="91"/>
  <c r="C103" i="91"/>
  <c r="E102" i="91"/>
  <c r="C102" i="91"/>
  <c r="F27" i="91"/>
  <c r="E27" i="91"/>
  <c r="D27" i="91"/>
  <c r="C27" i="91"/>
  <c r="G102" i="98" l="1"/>
  <c r="F192" i="98"/>
  <c r="G192" i="98" s="1"/>
  <c r="G159" i="98"/>
  <c r="F191" i="98"/>
  <c r="G191" i="98" s="1"/>
  <c r="G158" i="98"/>
  <c r="G27" i="98"/>
  <c r="F192" i="97"/>
  <c r="G159" i="97"/>
  <c r="F191" i="97"/>
  <c r="G191" i="97" s="1"/>
  <c r="G158" i="97"/>
  <c r="G192" i="97"/>
  <c r="G102" i="97"/>
  <c r="G103" i="97"/>
  <c r="G27" i="97"/>
  <c r="F192" i="96"/>
  <c r="G192" i="96" s="1"/>
  <c r="G159" i="96"/>
  <c r="F191" i="96"/>
  <c r="G191" i="96" s="1"/>
  <c r="G158" i="96"/>
  <c r="G102" i="96"/>
  <c r="G103" i="96"/>
  <c r="G27" i="96"/>
  <c r="G103" i="95"/>
  <c r="G102" i="95"/>
  <c r="F191" i="95"/>
  <c r="G191" i="95" s="1"/>
  <c r="G158" i="95"/>
  <c r="F192" i="95"/>
  <c r="G192" i="95" s="1"/>
  <c r="G159" i="95"/>
  <c r="G27" i="95"/>
  <c r="F192" i="94"/>
  <c r="F159" i="94"/>
  <c r="F27" i="94"/>
  <c r="F102" i="94"/>
  <c r="F103" i="94"/>
  <c r="F191" i="94"/>
  <c r="F158" i="94"/>
  <c r="F192" i="93"/>
  <c r="F159" i="93"/>
  <c r="F27" i="93"/>
  <c r="F102" i="93"/>
  <c r="F103" i="93"/>
  <c r="E191" i="93"/>
  <c r="F191" i="93" s="1"/>
  <c r="F158" i="93"/>
  <c r="F27" i="92"/>
  <c r="F102" i="92"/>
  <c r="F103" i="92"/>
  <c r="E191" i="92"/>
  <c r="F191" i="92" s="1"/>
  <c r="F158" i="92"/>
  <c r="F191" i="91"/>
  <c r="G191" i="91" s="1"/>
  <c r="G158" i="91"/>
  <c r="F192" i="91"/>
  <c r="G192" i="91" s="1"/>
  <c r="G159" i="91"/>
  <c r="G103" i="91"/>
  <c r="G102" i="91"/>
  <c r="G27" i="91"/>
  <c r="E192" i="92"/>
  <c r="F192" i="92" s="1"/>
  <c r="F103" i="68"/>
  <c r="F102" i="68"/>
  <c r="D103" i="68"/>
  <c r="D102" i="68"/>
  <c r="D27" i="68"/>
  <c r="G127" i="68" l="1"/>
  <c r="C27" i="68" l="1"/>
  <c r="F184" i="68"/>
  <c r="F183" i="68"/>
  <c r="F159" i="68" l="1"/>
  <c r="F158" i="68"/>
  <c r="C192" i="68"/>
  <c r="C191" i="68"/>
  <c r="C103" i="68"/>
  <c r="C102" i="68"/>
  <c r="F27" i="68" l="1"/>
  <c r="F191" i="68" l="1"/>
  <c r="F192" i="68"/>
  <c r="E103" i="68" l="1"/>
  <c r="E102" i="68"/>
  <c r="G188" i="68" l="1"/>
  <c r="G187" i="68"/>
  <c r="G192" i="68"/>
  <c r="G184" i="68"/>
  <c r="G191" i="68"/>
  <c r="G183" i="68"/>
  <c r="G180" i="68"/>
  <c r="G179" i="68"/>
  <c r="G176" i="68"/>
  <c r="G175" i="68"/>
  <c r="G172" i="68"/>
  <c r="G171" i="68"/>
  <c r="G168" i="68"/>
  <c r="G167" i="68"/>
  <c r="G163" i="68"/>
  <c r="G162" i="68"/>
  <c r="G159" i="68"/>
  <c r="G158" i="68"/>
  <c r="G155" i="68"/>
  <c r="G154" i="68"/>
  <c r="G151" i="68"/>
  <c r="G150" i="68"/>
  <c r="G147" i="68"/>
  <c r="G146" i="68"/>
  <c r="G139" i="68"/>
  <c r="G138" i="68"/>
  <c r="G125" i="68"/>
  <c r="G103" i="68"/>
  <c r="G102" i="68"/>
  <c r="G101" i="68"/>
  <c r="G100" i="68"/>
  <c r="G99" i="68"/>
  <c r="G95" i="68"/>
  <c r="G94" i="68"/>
  <c r="G93" i="68"/>
  <c r="G83" i="68"/>
  <c r="G82" i="68"/>
  <c r="G81" i="68"/>
  <c r="G65" i="68"/>
  <c r="G64" i="68"/>
  <c r="G61" i="68"/>
  <c r="G27" i="68"/>
</calcChain>
</file>

<file path=xl/sharedStrings.xml><?xml version="1.0" encoding="utf-8"?>
<sst xmlns="http://schemas.openxmlformats.org/spreadsheetml/2006/main" count="1953" uniqueCount="110">
  <si>
    <t xml:space="preserve"> </t>
  </si>
  <si>
    <t>CCAF</t>
  </si>
  <si>
    <t>Los Andes</t>
  </si>
  <si>
    <t>La Araucana</t>
  </si>
  <si>
    <t>Caja 18</t>
  </si>
  <si>
    <t>Los Héroes</t>
  </si>
  <si>
    <t>Total</t>
  </si>
  <si>
    <t>I. Información Poblacional</t>
  </si>
  <si>
    <t>Entidades Empleadoras Afiliadas</t>
  </si>
  <si>
    <t>N° Entidades Empleadoras Privadas</t>
  </si>
  <si>
    <t>N° Entidades Empleadoras Públicas</t>
  </si>
  <si>
    <t>Total Entidades Empleadoras Afiliadas</t>
  </si>
  <si>
    <t>Trabajadores Afiliados</t>
  </si>
  <si>
    <t xml:space="preserve">Trabajadores Dependientes </t>
  </si>
  <si>
    <t>N° Trabajadores Dependientes Privados Isapre</t>
  </si>
  <si>
    <t>N° Trabajadores Dependientes Privados Fonasa</t>
  </si>
  <si>
    <t>N° Trabajadores Dependientes Privados</t>
  </si>
  <si>
    <t>N° Trabajadores Dependientes Públicos</t>
  </si>
  <si>
    <t>N° Trabajadores Dependientes Total</t>
  </si>
  <si>
    <t xml:space="preserve">Trabajadores Independientes </t>
  </si>
  <si>
    <t xml:space="preserve">N° Trabajadores Independientes </t>
  </si>
  <si>
    <t>N° Trabajadores Afiliados Total</t>
  </si>
  <si>
    <t>Pensionados Afiliados</t>
  </si>
  <si>
    <t>N° Pensionados Afiliados</t>
  </si>
  <si>
    <t>Total Afiliados</t>
  </si>
  <si>
    <t>N° Total de Afiliados</t>
  </si>
  <si>
    <t>Cargas Familiares Vigentes</t>
  </si>
  <si>
    <t>N° Cargas Familiares Vigentes</t>
  </si>
  <si>
    <t>Remuneraciones de Afiliados</t>
  </si>
  <si>
    <t>Remuneración Total (imponible) trabajadores afiliados ($)</t>
  </si>
  <si>
    <t>Remuneración Total  (imponible) pensionados ($)</t>
  </si>
  <si>
    <t>Total Remuneraciones afiliados ($)</t>
  </si>
  <si>
    <t>(*) Se Considera Remuneración Hasta el Maximo Imponible</t>
  </si>
  <si>
    <t>II. Información Prestaciones Legales</t>
  </si>
  <si>
    <t>Asignaciones Familiares</t>
  </si>
  <si>
    <t>N° Asignaciones Familiares Pagadas</t>
  </si>
  <si>
    <t>Monto (MM$) Asignaciones Familiares Pagadas</t>
  </si>
  <si>
    <t>Subsidio de Cesantía</t>
  </si>
  <si>
    <t>N° Subsidio de Cesantía Pagadas</t>
  </si>
  <si>
    <t>Monto Subsidio de Cesantía Pagadas (MM$)</t>
  </si>
  <si>
    <t>Subsidio de Incapacidad Laboral</t>
  </si>
  <si>
    <t>N° Subsidio de Incapacidad Laboral</t>
  </si>
  <si>
    <t>Monto de Subsidio de Incapacidad Laboral (MM$)</t>
  </si>
  <si>
    <t>III. Información Productos y Servicios</t>
  </si>
  <si>
    <t>Crédito Social (No Incluye Crédito Hipotecario)</t>
  </si>
  <si>
    <t>Trabajadores Dependientes</t>
  </si>
  <si>
    <t xml:space="preserve">N° Colocaciones del mes </t>
  </si>
  <si>
    <t>Monto de Colocaciones del mes (MM$)</t>
  </si>
  <si>
    <t xml:space="preserve">N° Cuotas promedio de colocaciones del mes </t>
  </si>
  <si>
    <t>N° Créditos Cartera Vigente</t>
  </si>
  <si>
    <t>Monto de Créditos Cartera Vigente (MM$)</t>
  </si>
  <si>
    <t>Trabajadores Independientes</t>
  </si>
  <si>
    <t>Pensionados</t>
  </si>
  <si>
    <t>Total Crédito Social</t>
  </si>
  <si>
    <t>N° Colocaciones del mes</t>
  </si>
  <si>
    <t>Crédito Hipotecario</t>
  </si>
  <si>
    <t>Total Crédito Hipotecario</t>
  </si>
  <si>
    <t>Tasa de Interés Colocación Crédito Social</t>
  </si>
  <si>
    <t>Trabajadores (Para monto menor o igual a 200 UF)</t>
  </si>
  <si>
    <t>Plazo 24 meses (%)</t>
  </si>
  <si>
    <t>Plazo 36 meses (%)</t>
  </si>
  <si>
    <t>Plazo 60 meses (%)</t>
  </si>
  <si>
    <t>Trabajadores (Para monto mayor a 200 UF y menor a 5000 UF)</t>
  </si>
  <si>
    <t>Pensionados (Para monto menor o igual a 200 UF)</t>
  </si>
  <si>
    <t>Pensionados (Para monto mayor a 200 UF y menor a 5000 UF)</t>
  </si>
  <si>
    <t>Tasa de Interés Promedio Colocación Crédito Hipotecario al último día del mes (%)</t>
  </si>
  <si>
    <t>anualizada (%)</t>
  </si>
  <si>
    <t>Tasa de Interés Promedio Cartera Vigente (%) (No incluye crédito hipotecario)</t>
  </si>
  <si>
    <t>mensual (%)</t>
  </si>
  <si>
    <t>Ahorro</t>
  </si>
  <si>
    <t>N° Cuentas de Ahorro Vigentes</t>
  </si>
  <si>
    <t>Saldo Acumulado de Cuentas de Ahorro Vigentes (MM$)</t>
  </si>
  <si>
    <t>Seguros</t>
  </si>
  <si>
    <t>N° de Seguros Vigentes</t>
  </si>
  <si>
    <t>IV. Información Servicios a Terceros</t>
  </si>
  <si>
    <t>Recaudación de Cotizaciones</t>
  </si>
  <si>
    <t>N° de planillas recaudadas electrónicamente</t>
  </si>
  <si>
    <t>N° de planillas recaudadas manualmente</t>
  </si>
  <si>
    <t>V. Información Beneficios No Retornables</t>
  </si>
  <si>
    <t>Educación</t>
  </si>
  <si>
    <t>Asignaciones Matrícula</t>
  </si>
  <si>
    <t>N° Asignaciones Pagadas</t>
  </si>
  <si>
    <t>Monto Asignaciones Pagadas (MM$)</t>
  </si>
  <si>
    <t>Becas de Estudios</t>
  </si>
  <si>
    <t>N° Becas Pagadas</t>
  </si>
  <si>
    <t>Monto Becas Pagadas (MM$)</t>
  </si>
  <si>
    <t>Otros Beneficios Educacionales</t>
  </si>
  <si>
    <t>N° Beneficios Pagados</t>
  </si>
  <si>
    <t>Monto Beneficios Pagados (MM$)</t>
  </si>
  <si>
    <t>Total Beneficios Educacionales</t>
  </si>
  <si>
    <t>N° Beneficios Pagados Total</t>
  </si>
  <si>
    <t>Monto de Beneficios Pagados Total (MM$)</t>
  </si>
  <si>
    <t>Salud</t>
  </si>
  <si>
    <t>Contingencias</t>
  </si>
  <si>
    <t>Nupcialidad</t>
  </si>
  <si>
    <t>N° de asignaciones Pagadas</t>
  </si>
  <si>
    <t>Monto de asignaciones pagadas (MM$)</t>
  </si>
  <si>
    <t>Natalidad</t>
  </si>
  <si>
    <t>N° de asignaciones pagadas</t>
  </si>
  <si>
    <t>Fallecimiento</t>
  </si>
  <si>
    <t>Otras asignaciones de contingencias</t>
  </si>
  <si>
    <t xml:space="preserve">Total asignaciones de contingencias </t>
  </si>
  <si>
    <t>N° asignaciones de contingencias pagadas</t>
  </si>
  <si>
    <t>Monto de asignaciones de contingencias pagadas (MM$)</t>
  </si>
  <si>
    <t>Otros beneficios no retornables</t>
  </si>
  <si>
    <t>N° de otros beneficios pagados</t>
  </si>
  <si>
    <t>Monto de otros beneficios pagados (MM$)</t>
  </si>
  <si>
    <t>Total Beneficios No Retornables</t>
  </si>
  <si>
    <t>N° total de beneficios pagados</t>
  </si>
  <si>
    <t>Monto total de beneficios pagados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</si>
</sst>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_-* #,##0_-;\-* #,##0_-;_-* &quot;-&quot;??_-;_-@_-"/>
    <numFmt numFmtId="168" formatCode="\$#,##0"/>
    <numFmt numFmtId="169" formatCode="#,##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333333"/>
      <name val="Tahoma"/>
    </font>
    <font>
      <sz val="9"/>
      <color rgb="FF333333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33399"/>
      </left>
      <right style="thin">
        <color rgb="FF000000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</borders>
  <cellStyleXfs count="2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3" borderId="2" xfId="0" applyFont="1" applyFill="1" applyBorder="1" applyAlignment="1">
      <alignment horizontal="center"/>
    </xf>
    <xf numFmtId="16" fontId="6" fillId="3" borderId="2" xfId="0" applyNumberFormat="1" applyFont="1" applyFill="1" applyBorder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0" fontId="5" fillId="4" borderId="4" xfId="0" applyFont="1" applyFill="1" applyBorder="1"/>
    <xf numFmtId="0" fontId="5" fillId="4" borderId="5" xfId="0" applyFont="1" applyFill="1" applyBorder="1"/>
    <xf numFmtId="4" fontId="0" fillId="0" borderId="2" xfId="0" applyNumberFormat="1" applyBorder="1"/>
    <xf numFmtId="3" fontId="0" fillId="2" borderId="2" xfId="0" applyNumberFormat="1" applyFill="1" applyBorder="1"/>
    <xf numFmtId="2" fontId="0" fillId="0" borderId="2" xfId="0" applyNumberFormat="1" applyBorder="1"/>
    <xf numFmtId="0" fontId="0" fillId="0" borderId="2" xfId="0" applyBorder="1"/>
    <xf numFmtId="3" fontId="6" fillId="3" borderId="2" xfId="0" applyNumberFormat="1" applyFont="1" applyFill="1" applyBorder="1" applyAlignment="1">
      <alignment horizontal="center"/>
    </xf>
    <xf numFmtId="0" fontId="0" fillId="2" borderId="2" xfId="0" applyFill="1" applyBorder="1"/>
    <xf numFmtId="3" fontId="0" fillId="2" borderId="3" xfId="0" applyNumberForma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horizontal="right"/>
    </xf>
    <xf numFmtId="4" fontId="0" fillId="5" borderId="2" xfId="0" applyNumberFormat="1" applyFill="1" applyBorder="1"/>
    <xf numFmtId="0" fontId="5" fillId="4" borderId="6" xfId="0" applyFont="1" applyFill="1" applyBorder="1"/>
    <xf numFmtId="3" fontId="0" fillId="0" borderId="2" xfId="0" applyNumberFormat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2" xfId="0" applyNumberFormat="1" applyBorder="1"/>
    <xf numFmtId="3" fontId="7" fillId="0" borderId="2" xfId="0" applyNumberFormat="1" applyFont="1" applyBorder="1"/>
    <xf numFmtId="1" fontId="3" fillId="0" borderId="2" xfId="1" applyNumberFormat="1" applyBorder="1" applyAlignment="1">
      <alignment horizontal="right"/>
    </xf>
    <xf numFmtId="2" fontId="7" fillId="0" borderId="2" xfId="0" applyNumberFormat="1" applyFont="1" applyBorder="1"/>
    <xf numFmtId="4" fontId="7" fillId="0" borderId="2" xfId="0" applyNumberFormat="1" applyFont="1" applyBorder="1"/>
    <xf numFmtId="1" fontId="7" fillId="2" borderId="2" xfId="1" applyNumberFormat="1" applyFont="1" applyFill="1" applyBorder="1"/>
    <xf numFmtId="2" fontId="7" fillId="0" borderId="2" xfId="0" applyNumberFormat="1" applyFont="1" applyBorder="1" applyAlignment="1">
      <alignment horizontal="right"/>
    </xf>
    <xf numFmtId="0" fontId="3" fillId="0" borderId="2" xfId="1" applyNumberFormat="1" applyBorder="1" applyAlignment="1">
      <alignment horizontal="right"/>
    </xf>
    <xf numFmtId="3" fontId="0" fillId="9" borderId="2" xfId="0" applyNumberFormat="1" applyFill="1" applyBorder="1"/>
    <xf numFmtId="3" fontId="0" fillId="10" borderId="2" xfId="0" applyNumberFormat="1" applyFill="1" applyBorder="1"/>
    <xf numFmtId="2" fontId="0" fillId="0" borderId="3" xfId="0" applyNumberFormat="1" applyBorder="1"/>
    <xf numFmtId="0" fontId="0" fillId="0" borderId="0" xfId="0" applyAlignment="1">
      <alignment horizontal="left"/>
    </xf>
    <xf numFmtId="0" fontId="0" fillId="5" borderId="10" xfId="0" applyFill="1" applyBorder="1"/>
    <xf numFmtId="3" fontId="0" fillId="5" borderId="10" xfId="0" applyNumberFormat="1" applyFill="1" applyBorder="1"/>
    <xf numFmtId="0" fontId="3" fillId="0" borderId="2" xfId="2" applyNumberFormat="1" applyFont="1" applyFill="1" applyBorder="1"/>
    <xf numFmtId="4" fontId="0" fillId="0" borderId="0" xfId="0" applyNumberFormat="1"/>
    <xf numFmtId="3" fontId="0" fillId="5" borderId="2" xfId="0" applyNumberFormat="1" applyFill="1" applyBorder="1" applyAlignment="1">
      <alignment horizontal="right"/>
    </xf>
    <xf numFmtId="166" fontId="0" fillId="5" borderId="2" xfId="0" applyNumberFormat="1" applyFill="1" applyBorder="1"/>
    <xf numFmtId="3" fontId="3" fillId="5" borderId="2" xfId="1" applyNumberFormat="1" applyFill="1" applyBorder="1" applyAlignment="1">
      <alignment horizontal="right"/>
    </xf>
    <xf numFmtId="167" fontId="3" fillId="2" borderId="2" xfId="1" applyNumberFormat="1" applyFont="1" applyFill="1" applyBorder="1"/>
    <xf numFmtId="167" fontId="0" fillId="5" borderId="2" xfId="0" applyNumberFormat="1" applyFill="1" applyBorder="1"/>
    <xf numFmtId="3" fontId="7" fillId="0" borderId="3" xfId="0" applyNumberFormat="1" applyFont="1" applyBorder="1"/>
    <xf numFmtId="3" fontId="7" fillId="0" borderId="2" xfId="1" applyNumberFormat="1" applyFont="1" applyFill="1" applyBorder="1" applyAlignment="1">
      <alignment vertical="center"/>
    </xf>
    <xf numFmtId="167" fontId="3" fillId="2" borderId="2" xfId="1" applyNumberFormat="1" applyFont="1" applyFill="1" applyBorder="1" applyAlignment="1">
      <alignment horizontal="right"/>
    </xf>
    <xf numFmtId="0" fontId="0" fillId="0" borderId="5" xfId="0" applyBorder="1"/>
    <xf numFmtId="3" fontId="3" fillId="0" borderId="2" xfId="2" applyNumberFormat="1" applyFont="1" applyFill="1" applyBorder="1"/>
    <xf numFmtId="168" fontId="3" fillId="0" borderId="2" xfId="2" applyNumberFormat="1" applyFont="1" applyFill="1" applyBorder="1"/>
    <xf numFmtId="3" fontId="8" fillId="11" borderId="11" xfId="0" applyNumberFormat="1" applyFont="1" applyFill="1" applyBorder="1" applyAlignment="1">
      <alignment horizontal="right" vertical="center"/>
    </xf>
    <xf numFmtId="169" fontId="0" fillId="5" borderId="2" xfId="0" applyNumberFormat="1" applyFill="1" applyBorder="1"/>
    <xf numFmtId="3" fontId="9" fillId="11" borderId="12" xfId="0" applyNumberFormat="1" applyFont="1" applyFill="1" applyBorder="1" applyAlignment="1">
      <alignment horizontal="right" vertical="center"/>
    </xf>
    <xf numFmtId="168" fontId="0" fillId="0" borderId="2" xfId="0" applyNumberFormat="1" applyBorder="1"/>
    <xf numFmtId="4" fontId="3" fillId="0" borderId="2" xfId="23" applyNumberFormat="1" applyFont="1" applyBorder="1"/>
    <xf numFmtId="4" fontId="7" fillId="0" borderId="2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2" fontId="7" fillId="0" borderId="2" xfId="0" applyNumberFormat="1" applyFont="1" applyBorder="1" applyAlignment="1">
      <alignment horizontal="center"/>
    </xf>
  </cellXfs>
  <cellStyles count="24">
    <cellStyle name="Millares" xfId="1" builtinId="3"/>
    <cellStyle name="Millares [0]" xfId="2" builtinId="6"/>
    <cellStyle name="Millares 10" xfId="3" xr:uid="{00000000-0005-0000-0000-000002000000}"/>
    <cellStyle name="Millares 11" xfId="4" xr:uid="{00000000-0005-0000-0000-000003000000}"/>
    <cellStyle name="Millares 2" xfId="5" xr:uid="{00000000-0005-0000-0000-000004000000}"/>
    <cellStyle name="Millares 2 2" xfId="6" xr:uid="{00000000-0005-0000-0000-000005000000}"/>
    <cellStyle name="Millares 3" xfId="7" xr:uid="{00000000-0005-0000-0000-000006000000}"/>
    <cellStyle name="Millares 3 2" xfId="8" xr:uid="{00000000-0005-0000-0000-000007000000}"/>
    <cellStyle name="Millares 4" xfId="9" xr:uid="{00000000-0005-0000-0000-000008000000}"/>
    <cellStyle name="Millares 4 2" xfId="10" xr:uid="{00000000-0005-0000-0000-000009000000}"/>
    <cellStyle name="Millares 5" xfId="11" xr:uid="{00000000-0005-0000-0000-00000A000000}"/>
    <cellStyle name="Millares 5 2" xfId="12" xr:uid="{00000000-0005-0000-0000-00000B000000}"/>
    <cellStyle name="Millares 6" xfId="13" xr:uid="{00000000-0005-0000-0000-00000C000000}"/>
    <cellStyle name="Millares 6 2" xfId="14" xr:uid="{00000000-0005-0000-0000-00000D000000}"/>
    <cellStyle name="Millares 7" xfId="15" xr:uid="{00000000-0005-0000-0000-00000E000000}"/>
    <cellStyle name="Millares 7 2" xfId="16" xr:uid="{00000000-0005-0000-0000-00000F000000}"/>
    <cellStyle name="Millares 8" xfId="17" xr:uid="{00000000-0005-0000-0000-000010000000}"/>
    <cellStyle name="Millares 9" xfId="18" xr:uid="{00000000-0005-0000-0000-000011000000}"/>
    <cellStyle name="Normal" xfId="0" builtinId="0"/>
    <cellStyle name="Normal 2" xfId="19" xr:uid="{00000000-0005-0000-0000-000013000000}"/>
    <cellStyle name="Normal 3" xfId="20" xr:uid="{00000000-0005-0000-0000-000014000000}"/>
    <cellStyle name="Normal 4" xfId="21" xr:uid="{00000000-0005-0000-0000-000015000000}"/>
    <cellStyle name="Normal 9" xfId="22" xr:uid="{00000000-0005-0000-0000-000016000000}"/>
    <cellStyle name="Porcentaje" xfId="2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96"/>
  <sheetViews>
    <sheetView zoomScaleNormal="100" workbookViewId="0">
      <selection activeCell="C6" sqref="C6"/>
    </sheetView>
  </sheetViews>
  <sheetFormatPr baseColWidth="10" defaultColWidth="34.8554687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56" width="34.85546875" style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1" t="s">
        <v>1</v>
      </c>
      <c r="D2" s="82"/>
      <c r="E2" s="82"/>
      <c r="F2" s="82"/>
      <c r="G2" s="8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0" t="s">
        <v>7</v>
      </c>
      <c r="C4" s="71"/>
      <c r="D4" s="71"/>
      <c r="E4" s="71"/>
      <c r="F4" s="71"/>
      <c r="G4" s="72"/>
    </row>
    <row r="5" spans="1:7" x14ac:dyDescent="0.25">
      <c r="B5" s="66" t="s">
        <v>8</v>
      </c>
      <c r="C5" s="67"/>
      <c r="D5" s="67"/>
      <c r="E5" s="67"/>
      <c r="F5" s="67"/>
      <c r="G5" s="68"/>
    </row>
    <row r="6" spans="1:7" x14ac:dyDescent="0.25">
      <c r="B6" s="4" t="s">
        <v>9</v>
      </c>
      <c r="C6" s="12">
        <v>55254</v>
      </c>
      <c r="D6" s="12">
        <v>8218</v>
      </c>
      <c r="E6" s="12">
        <v>8407</v>
      </c>
      <c r="F6" s="12">
        <v>9950</v>
      </c>
      <c r="G6" s="12">
        <f>+F6+E6+D6+C6</f>
        <v>81829</v>
      </c>
    </row>
    <row r="7" spans="1:7" x14ac:dyDescent="0.25">
      <c r="B7" s="14" t="s">
        <v>10</v>
      </c>
      <c r="C7" s="12">
        <v>540</v>
      </c>
      <c r="D7" s="12">
        <v>250</v>
      </c>
      <c r="E7" s="12">
        <v>24</v>
      </c>
      <c r="F7" s="12">
        <v>153</v>
      </c>
      <c r="G7" s="12">
        <f>+F7+E7+D7+C7</f>
        <v>967</v>
      </c>
    </row>
    <row r="8" spans="1:7" x14ac:dyDescent="0.25">
      <c r="B8" s="18" t="s">
        <v>11</v>
      </c>
      <c r="C8" s="25">
        <v>55794</v>
      </c>
      <c r="D8" s="25">
        <f>+D6+D7</f>
        <v>8468</v>
      </c>
      <c r="E8" s="25">
        <v>8431</v>
      </c>
      <c r="F8" s="25">
        <v>10103</v>
      </c>
      <c r="G8" s="25">
        <f>+F8+E8+D8+C8</f>
        <v>82796</v>
      </c>
    </row>
    <row r="9" spans="1:7" x14ac:dyDescent="0.25">
      <c r="B9" s="61"/>
      <c r="C9" s="61"/>
      <c r="D9" s="61"/>
      <c r="E9" s="61"/>
      <c r="F9" s="61"/>
      <c r="G9" s="61"/>
    </row>
    <row r="10" spans="1:7" x14ac:dyDescent="0.25">
      <c r="B10" s="66" t="s">
        <v>12</v>
      </c>
      <c r="C10" s="67"/>
      <c r="D10" s="67"/>
      <c r="E10" s="67"/>
      <c r="F10" s="67"/>
      <c r="G10" s="68"/>
    </row>
    <row r="11" spans="1:7" x14ac:dyDescent="0.25">
      <c r="B11" s="62" t="s">
        <v>13</v>
      </c>
      <c r="C11" s="63"/>
      <c r="D11" s="63"/>
      <c r="E11" s="63"/>
      <c r="F11" s="63"/>
      <c r="G11" s="64"/>
    </row>
    <row r="12" spans="1:7" x14ac:dyDescent="0.25">
      <c r="B12" s="16" t="s">
        <v>14</v>
      </c>
      <c r="C12" s="12">
        <v>806736</v>
      </c>
      <c r="D12" s="12">
        <v>111895</v>
      </c>
      <c r="E12" s="12">
        <v>43794</v>
      </c>
      <c r="F12" s="12">
        <v>0</v>
      </c>
      <c r="G12" s="17">
        <f>SUM(C12:F12)</f>
        <v>962425</v>
      </c>
    </row>
    <row r="13" spans="1:7" x14ac:dyDescent="0.25">
      <c r="B13" s="16" t="s">
        <v>15</v>
      </c>
      <c r="C13" s="12">
        <v>2502515</v>
      </c>
      <c r="D13" s="12">
        <v>578068</v>
      </c>
      <c r="E13" s="12">
        <v>233310</v>
      </c>
      <c r="F13" s="12">
        <v>0</v>
      </c>
      <c r="G13" s="17">
        <f>SUM(C13:F13)</f>
        <v>3313893</v>
      </c>
    </row>
    <row r="14" spans="1:7" x14ac:dyDescent="0.25">
      <c r="B14" s="18" t="s">
        <v>16</v>
      </c>
      <c r="C14" s="25">
        <v>3309251</v>
      </c>
      <c r="D14" s="25">
        <v>985948</v>
      </c>
      <c r="E14" s="25">
        <v>277104</v>
      </c>
      <c r="F14" s="25">
        <v>141217</v>
      </c>
      <c r="G14" s="19">
        <f>SUM(C14:F14)</f>
        <v>4713520</v>
      </c>
    </row>
    <row r="15" spans="1:7" x14ac:dyDescent="0.25">
      <c r="B15" s="18" t="s">
        <v>17</v>
      </c>
      <c r="C15" s="25">
        <v>485402</v>
      </c>
      <c r="D15" s="25">
        <v>160851</v>
      </c>
      <c r="E15" s="25">
        <v>3277</v>
      </c>
      <c r="F15" s="25">
        <v>359336</v>
      </c>
      <c r="G15" s="19">
        <f>SUM(C15:F15)</f>
        <v>1008866</v>
      </c>
    </row>
    <row r="16" spans="1:7" x14ac:dyDescent="0.25">
      <c r="B16" s="18" t="s">
        <v>18</v>
      </c>
      <c r="C16" s="25">
        <v>3794653</v>
      </c>
      <c r="D16" s="25">
        <v>1146799</v>
      </c>
      <c r="E16" s="25">
        <v>280381</v>
      </c>
      <c r="F16" s="25">
        <v>500553</v>
      </c>
      <c r="G16" s="19">
        <f>SUM(C16:F16)</f>
        <v>5722386</v>
      </c>
    </row>
    <row r="17" spans="2:8" x14ac:dyDescent="0.25">
      <c r="B17" s="61"/>
      <c r="C17" s="61"/>
      <c r="D17" s="61"/>
      <c r="E17" s="61"/>
      <c r="F17" s="61"/>
      <c r="G17" s="61"/>
    </row>
    <row r="18" spans="2:8" x14ac:dyDescent="0.25">
      <c r="B18" s="62" t="s">
        <v>19</v>
      </c>
      <c r="C18" s="63"/>
      <c r="D18" s="63"/>
      <c r="E18" s="63"/>
      <c r="F18" s="63"/>
      <c r="G18" s="64"/>
    </row>
    <row r="19" spans="2:8" x14ac:dyDescent="0.25">
      <c r="B19" s="14" t="s">
        <v>20</v>
      </c>
      <c r="C19" s="52">
        <v>3505</v>
      </c>
      <c r="D19" s="27">
        <v>4</v>
      </c>
      <c r="E19" s="27">
        <v>0</v>
      </c>
      <c r="F19" s="27">
        <v>0</v>
      </c>
      <c r="G19" s="27">
        <f>SUM(C19:F19)</f>
        <v>3509</v>
      </c>
    </row>
    <row r="20" spans="2:8" x14ac:dyDescent="0.25">
      <c r="B20" s="84"/>
      <c r="C20" s="84"/>
      <c r="D20" s="84"/>
      <c r="E20" s="84"/>
      <c r="F20" s="84"/>
      <c r="G20" s="84"/>
    </row>
    <row r="21" spans="2:8" x14ac:dyDescent="0.25">
      <c r="B21" s="18" t="s">
        <v>21</v>
      </c>
      <c r="C21" s="43">
        <f>+C19+C16</f>
        <v>3798158</v>
      </c>
      <c r="D21" s="43">
        <v>1146803</v>
      </c>
      <c r="E21" s="43">
        <v>280381</v>
      </c>
      <c r="F21" s="43">
        <f>F16</f>
        <v>500553</v>
      </c>
      <c r="G21" s="19">
        <f>SUM(C21:F21)</f>
        <v>5725895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25">
        <v>402670</v>
      </c>
      <c r="D24" s="25">
        <v>201424</v>
      </c>
      <c r="E24" s="25">
        <v>140204</v>
      </c>
      <c r="F24" s="25">
        <v>683391</v>
      </c>
      <c r="G24" s="19">
        <f>SUM(C24:F24)</f>
        <v>1427689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25">
        <f>+C24+C21</f>
        <v>4200828</v>
      </c>
      <c r="D27" s="25">
        <f>+D24+D21</f>
        <v>1348227</v>
      </c>
      <c r="E27" s="25">
        <f>+E24+E21</f>
        <v>420585</v>
      </c>
      <c r="F27" s="25">
        <f>+F24+F21</f>
        <v>1183944</v>
      </c>
      <c r="G27" s="19">
        <f>SUM(C27:F27)</f>
        <v>7153584</v>
      </c>
    </row>
    <row r="28" spans="2:8" x14ac:dyDescent="0.25">
      <c r="B28" s="61"/>
      <c r="C28" s="61"/>
      <c r="D28" s="61"/>
      <c r="E28" s="61"/>
      <c r="F28" s="61"/>
      <c r="G28" s="61"/>
      <c r="H28" s="61"/>
    </row>
    <row r="29" spans="2:8" x14ac:dyDescent="0.25">
      <c r="B29" s="66" t="s">
        <v>26</v>
      </c>
      <c r="C29" s="67"/>
      <c r="D29" s="67"/>
      <c r="E29" s="67"/>
      <c r="F29" s="67"/>
      <c r="G29" s="68"/>
    </row>
    <row r="30" spans="2:8" x14ac:dyDescent="0.25">
      <c r="B30" s="14" t="s">
        <v>27</v>
      </c>
      <c r="C30" s="27">
        <v>1270591</v>
      </c>
      <c r="D30" s="27">
        <v>138665</v>
      </c>
      <c r="E30" s="27">
        <v>75095</v>
      </c>
      <c r="F30" s="27">
        <v>211356</v>
      </c>
      <c r="G30" s="27">
        <f>SUM(C30:F30)</f>
        <v>1695707</v>
      </c>
    </row>
    <row r="31" spans="2:8" x14ac:dyDescent="0.25">
      <c r="B31" s="61"/>
      <c r="C31" s="61"/>
      <c r="D31" s="61"/>
      <c r="E31" s="61"/>
      <c r="F31" s="61"/>
      <c r="G31" s="61"/>
      <c r="H31" s="61"/>
    </row>
    <row r="32" spans="2:8" x14ac:dyDescent="0.25">
      <c r="B32" s="66" t="s">
        <v>28</v>
      </c>
      <c r="C32" s="67"/>
      <c r="D32" s="67"/>
      <c r="E32" s="67"/>
      <c r="F32" s="67"/>
      <c r="G32" s="68"/>
    </row>
    <row r="33" spans="2:9" x14ac:dyDescent="0.25">
      <c r="B33" s="14" t="s">
        <v>29</v>
      </c>
      <c r="C33" s="27">
        <v>4193745811001</v>
      </c>
      <c r="D33" s="27">
        <v>672318247699</v>
      </c>
      <c r="E33" s="27">
        <v>278753688137</v>
      </c>
      <c r="F33" s="27">
        <v>509262138933</v>
      </c>
      <c r="G33" s="27">
        <f>SUM(C33:F33)</f>
        <v>5654079885770</v>
      </c>
    </row>
    <row r="34" spans="2:9" x14ac:dyDescent="0.25">
      <c r="B34" s="14" t="s">
        <v>30</v>
      </c>
      <c r="C34" s="27">
        <v>171394212814</v>
      </c>
      <c r="D34" s="27">
        <v>70749359118</v>
      </c>
      <c r="E34" s="27">
        <v>41520458300</v>
      </c>
      <c r="F34" s="27">
        <v>203352109481</v>
      </c>
      <c r="G34" s="27">
        <f>SUM(C34:F34)</f>
        <v>487016139713</v>
      </c>
    </row>
    <row r="35" spans="2:9" x14ac:dyDescent="0.25">
      <c r="B35" s="39" t="s">
        <v>31</v>
      </c>
      <c r="C35" s="19">
        <f>SUM(C33:C34)</f>
        <v>4365140023815</v>
      </c>
      <c r="D35" s="19">
        <f>+D34+D33</f>
        <v>743067606817</v>
      </c>
      <c r="E35" s="19">
        <f>SUM(E33:E34)</f>
        <v>320274146437</v>
      </c>
      <c r="F35" s="19">
        <v>712614248414</v>
      </c>
      <c r="G35" s="40">
        <f>SUM(C35:F35)</f>
        <v>6141096025483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0" t="s">
        <v>33</v>
      </c>
      <c r="C38" s="71"/>
      <c r="D38" s="71"/>
      <c r="E38" s="71"/>
      <c r="F38" s="71"/>
      <c r="G38" s="72"/>
    </row>
    <row r="39" spans="2:9" x14ac:dyDescent="0.25">
      <c r="B39" s="66" t="s">
        <v>34</v>
      </c>
      <c r="C39" s="67"/>
      <c r="D39" s="67"/>
      <c r="E39" s="67"/>
      <c r="F39" s="67"/>
      <c r="G39" s="68"/>
    </row>
    <row r="40" spans="2:9" x14ac:dyDescent="0.25">
      <c r="B40" s="14" t="s">
        <v>35</v>
      </c>
      <c r="C40" s="27">
        <v>763620</v>
      </c>
      <c r="D40" s="27">
        <v>120157</v>
      </c>
      <c r="E40" s="27">
        <v>55791</v>
      </c>
      <c r="F40" s="27">
        <v>78238</v>
      </c>
      <c r="G40" s="27">
        <f>SUM(C40:F40)</f>
        <v>1017806</v>
      </c>
      <c r="H40" s="7"/>
      <c r="I40" s="7"/>
    </row>
    <row r="41" spans="2:9" x14ac:dyDescent="0.25">
      <c r="B41" s="14" t="s">
        <v>36</v>
      </c>
      <c r="C41" s="27">
        <f>5225405185 /1000000</f>
        <v>5225.4051849999996</v>
      </c>
      <c r="D41" s="27">
        <v>1313.399341</v>
      </c>
      <c r="E41" s="27">
        <v>598</v>
      </c>
      <c r="F41" s="12">
        <v>792.04292599999997</v>
      </c>
      <c r="G41" s="11">
        <f>SUM(C41:F41)</f>
        <v>7928.847452</v>
      </c>
      <c r="H41" s="7"/>
      <c r="I41" s="7"/>
    </row>
    <row r="42" spans="2:9" x14ac:dyDescent="0.25">
      <c r="B42" s="61"/>
      <c r="C42" s="61"/>
      <c r="D42" s="61"/>
      <c r="E42" s="61"/>
      <c r="F42" s="61"/>
      <c r="G42" s="61"/>
      <c r="H42" s="61"/>
      <c r="I42" s="7"/>
    </row>
    <row r="43" spans="2:9" x14ac:dyDescent="0.25">
      <c r="B43" s="60" t="s">
        <v>37</v>
      </c>
      <c r="C43" s="60"/>
      <c r="D43" s="60"/>
      <c r="E43" s="60"/>
      <c r="F43" s="60"/>
      <c r="G43" s="60"/>
      <c r="I43" s="7"/>
    </row>
    <row r="44" spans="2:9" x14ac:dyDescent="0.25">
      <c r="B44" s="14" t="s">
        <v>38</v>
      </c>
      <c r="C44" s="12">
        <v>5</v>
      </c>
      <c r="D44" s="12">
        <v>9</v>
      </c>
      <c r="E44" s="12">
        <v>5</v>
      </c>
      <c r="F44" s="27">
        <v>0</v>
      </c>
      <c r="G44" s="27">
        <f>SUM(C44:F44)</f>
        <v>19</v>
      </c>
      <c r="H44" s="7"/>
      <c r="I44" s="7"/>
    </row>
    <row r="45" spans="2:9" x14ac:dyDescent="0.25">
      <c r="B45" s="14" t="s">
        <v>39</v>
      </c>
      <c r="C45" s="12">
        <f>4651739/1000000</f>
        <v>4.6517390000000001</v>
      </c>
      <c r="D45" s="12">
        <v>0.112701</v>
      </c>
      <c r="E45" s="12">
        <v>0</v>
      </c>
      <c r="F45" s="27">
        <v>0</v>
      </c>
      <c r="G45" s="11">
        <f>SUM(C45:F45)</f>
        <v>4.7644400000000005</v>
      </c>
      <c r="H45" s="7"/>
      <c r="I45" s="7"/>
    </row>
    <row r="46" spans="2:9" x14ac:dyDescent="0.25">
      <c r="B46" s="61"/>
      <c r="C46" s="61"/>
      <c r="D46" s="61"/>
      <c r="E46" s="61"/>
      <c r="F46" s="61"/>
      <c r="G46" s="61"/>
      <c r="H46" s="61"/>
      <c r="I46" s="7"/>
    </row>
    <row r="47" spans="2:9" x14ac:dyDescent="0.25">
      <c r="B47" s="60" t="s">
        <v>40</v>
      </c>
      <c r="C47" s="60"/>
      <c r="D47" s="60"/>
      <c r="E47" s="60"/>
      <c r="F47" s="60"/>
      <c r="G47" s="60"/>
      <c r="I47" s="7"/>
    </row>
    <row r="48" spans="2:9" x14ac:dyDescent="0.25">
      <c r="B48" s="14" t="s">
        <v>41</v>
      </c>
      <c r="C48" s="12">
        <v>138300</v>
      </c>
      <c r="D48" s="12">
        <v>73122</v>
      </c>
      <c r="E48" s="12">
        <v>11716</v>
      </c>
      <c r="F48" s="27">
        <v>61774</v>
      </c>
      <c r="G48" s="27">
        <f>SUM(C48:F48)</f>
        <v>284912</v>
      </c>
      <c r="H48" s="7"/>
      <c r="I48" s="7"/>
    </row>
    <row r="49" spans="2:9" x14ac:dyDescent="0.25">
      <c r="B49" s="14" t="s">
        <v>42</v>
      </c>
      <c r="C49" s="12">
        <f>(97843001904+ 1847039407)/1000000</f>
        <v>99690.041310999994</v>
      </c>
      <c r="D49" s="12">
        <v>28249</v>
      </c>
      <c r="E49" s="12">
        <v>11442</v>
      </c>
      <c r="F49" s="12">
        <v>13150.977384</v>
      </c>
      <c r="G49" s="11">
        <f>SUM(C49:F49)</f>
        <v>152532.01869500001</v>
      </c>
      <c r="H49" s="7"/>
      <c r="I49" s="7"/>
    </row>
    <row r="50" spans="2:9" x14ac:dyDescent="0.25">
      <c r="B50" s="61"/>
      <c r="C50" s="61"/>
      <c r="D50" s="61"/>
      <c r="E50" s="61"/>
      <c r="F50" s="61"/>
      <c r="G50" s="61"/>
      <c r="H50" s="61"/>
    </row>
    <row r="51" spans="2:9" ht="21" x14ac:dyDescent="0.35">
      <c r="B51" s="70" t="s">
        <v>43</v>
      </c>
      <c r="C51" s="71"/>
      <c r="D51" s="71"/>
      <c r="E51" s="71"/>
      <c r="F51" s="71"/>
      <c r="G51" s="72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60" t="s">
        <v>44</v>
      </c>
      <c r="C53" s="60"/>
      <c r="D53" s="60"/>
      <c r="E53" s="60"/>
      <c r="F53" s="60"/>
      <c r="G53" s="60"/>
    </row>
    <row r="54" spans="2:9" x14ac:dyDescent="0.25">
      <c r="B54" s="65" t="s">
        <v>45</v>
      </c>
      <c r="C54" s="65"/>
      <c r="D54" s="65"/>
      <c r="E54" s="65"/>
      <c r="F54" s="65"/>
      <c r="G54" s="65"/>
    </row>
    <row r="55" spans="2:9" x14ac:dyDescent="0.25">
      <c r="B55" s="14" t="s">
        <v>46</v>
      </c>
      <c r="C55" s="12">
        <v>115252</v>
      </c>
      <c r="D55" s="12">
        <v>5597</v>
      </c>
      <c r="E55" s="12">
        <v>1640</v>
      </c>
      <c r="F55" s="12">
        <v>5204</v>
      </c>
      <c r="G55" s="27">
        <f t="shared" ref="G55:G59" si="0">SUM(C55:F55)</f>
        <v>127693</v>
      </c>
    </row>
    <row r="56" spans="2:9" x14ac:dyDescent="0.25">
      <c r="B56" s="14" t="s">
        <v>47</v>
      </c>
      <c r="C56" s="12">
        <v>78297.415299</v>
      </c>
      <c r="D56" s="12">
        <v>5836.43324199995</v>
      </c>
      <c r="E56" s="12">
        <v>2252</v>
      </c>
      <c r="F56" s="12">
        <v>12585</v>
      </c>
      <c r="G56" s="27">
        <f t="shared" si="0"/>
        <v>98970.848540999956</v>
      </c>
    </row>
    <row r="57" spans="2:9" x14ac:dyDescent="0.25">
      <c r="B57" s="14" t="s">
        <v>48</v>
      </c>
      <c r="C57" s="12">
        <v>13.3887221046056</v>
      </c>
      <c r="D57" s="12">
        <v>34</v>
      </c>
      <c r="E57" s="12">
        <v>20</v>
      </c>
      <c r="F57" s="12">
        <v>29</v>
      </c>
      <c r="G57" s="27">
        <f>AVERAGE(C57:F57)</f>
        <v>24.097180526151398</v>
      </c>
    </row>
    <row r="58" spans="2:9" x14ac:dyDescent="0.25">
      <c r="B58" s="14" t="s">
        <v>49</v>
      </c>
      <c r="C58" s="12">
        <v>810438</v>
      </c>
      <c r="D58" s="12">
        <v>146588</v>
      </c>
      <c r="E58" s="12">
        <v>52077</v>
      </c>
      <c r="F58" s="12">
        <v>80066</v>
      </c>
      <c r="G58" s="27">
        <f t="shared" si="0"/>
        <v>1089169</v>
      </c>
    </row>
    <row r="59" spans="2:9" x14ac:dyDescent="0.25">
      <c r="B59" s="14" t="s">
        <v>50</v>
      </c>
      <c r="C59" s="12">
        <v>1804375.551738</v>
      </c>
      <c r="D59" s="12">
        <v>262313.49836299999</v>
      </c>
      <c r="E59" s="12">
        <v>109933.725651</v>
      </c>
      <c r="F59" s="12">
        <v>185188</v>
      </c>
      <c r="G59" s="11">
        <f t="shared" si="0"/>
        <v>2361810.775752</v>
      </c>
    </row>
    <row r="60" spans="2:9" x14ac:dyDescent="0.25">
      <c r="B60" s="65" t="s">
        <v>51</v>
      </c>
      <c r="C60" s="65"/>
      <c r="D60" s="65"/>
      <c r="E60" s="65"/>
      <c r="F60" s="65"/>
      <c r="G60" s="65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ref="G61:G65" si="1">SUM(C61:F61)</f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1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1"/>
        <v>0</v>
      </c>
    </row>
    <row r="66" spans="2:8" x14ac:dyDescent="0.25">
      <c r="B66" s="65" t="s">
        <v>52</v>
      </c>
      <c r="C66" s="65"/>
      <c r="D66" s="65"/>
      <c r="E66" s="65"/>
      <c r="F66" s="65"/>
      <c r="G66" s="65"/>
    </row>
    <row r="67" spans="2:8" x14ac:dyDescent="0.25">
      <c r="B67" s="14" t="s">
        <v>46</v>
      </c>
      <c r="C67" s="12">
        <v>7127</v>
      </c>
      <c r="D67" s="12">
        <v>1924</v>
      </c>
      <c r="E67" s="12">
        <v>1583</v>
      </c>
      <c r="F67" s="12">
        <v>13862</v>
      </c>
      <c r="G67" s="27">
        <f t="shared" ref="G67:G71" si="2">SUM(C67:F67)</f>
        <v>24496</v>
      </c>
    </row>
    <row r="68" spans="2:8" x14ac:dyDescent="0.25">
      <c r="B68" s="14" t="s">
        <v>47</v>
      </c>
      <c r="C68" s="12">
        <v>5580.0568380000004</v>
      </c>
      <c r="D68" s="12">
        <v>1911.2171000000001</v>
      </c>
      <c r="E68" s="12">
        <v>1716</v>
      </c>
      <c r="F68" s="12">
        <v>18380</v>
      </c>
      <c r="G68" s="27">
        <f t="shared" si="2"/>
        <v>27587.273937999998</v>
      </c>
    </row>
    <row r="69" spans="2:8" x14ac:dyDescent="0.25">
      <c r="B69" s="14" t="s">
        <v>48</v>
      </c>
      <c r="C69" s="12">
        <v>37.424442261821198</v>
      </c>
      <c r="D69" s="12">
        <v>54</v>
      </c>
      <c r="E69" s="12">
        <v>46</v>
      </c>
      <c r="F69" s="12">
        <v>38</v>
      </c>
      <c r="G69" s="27">
        <f>AVERAGE(C69:F69)</f>
        <v>43.856110565455296</v>
      </c>
    </row>
    <row r="70" spans="2:8" x14ac:dyDescent="0.25">
      <c r="B70" s="14" t="s">
        <v>49</v>
      </c>
      <c r="C70" s="12">
        <v>136864</v>
      </c>
      <c r="D70" s="27">
        <v>88488</v>
      </c>
      <c r="E70" s="12">
        <v>63147</v>
      </c>
      <c r="F70" s="12">
        <v>275808</v>
      </c>
      <c r="G70" s="27">
        <f t="shared" si="2"/>
        <v>564307</v>
      </c>
    </row>
    <row r="71" spans="2:8" x14ac:dyDescent="0.25">
      <c r="B71" s="14" t="s">
        <v>50</v>
      </c>
      <c r="C71" s="12">
        <v>141480.46905300001</v>
      </c>
      <c r="D71" s="27">
        <v>102802.921613</v>
      </c>
      <c r="E71" s="12">
        <v>65653.229533999998</v>
      </c>
      <c r="F71" s="12">
        <v>250551</v>
      </c>
      <c r="G71" s="11">
        <f t="shared" si="2"/>
        <v>560487.6202</v>
      </c>
    </row>
    <row r="72" spans="2:8" x14ac:dyDescent="0.25">
      <c r="B72" s="74" t="s">
        <v>53</v>
      </c>
      <c r="C72" s="75"/>
      <c r="D72" s="75"/>
      <c r="E72" s="75"/>
      <c r="F72" s="75"/>
      <c r="G72" s="76"/>
    </row>
    <row r="73" spans="2:8" x14ac:dyDescent="0.25">
      <c r="B73" s="18" t="s">
        <v>54</v>
      </c>
      <c r="C73" s="19">
        <f>+C55+C67</f>
        <v>122379</v>
      </c>
      <c r="D73" s="19">
        <v>7521</v>
      </c>
      <c r="E73" s="19">
        <f>+E55+E67</f>
        <v>3223</v>
      </c>
      <c r="F73" s="19">
        <v>19066</v>
      </c>
      <c r="G73" s="19">
        <f>SUM(C73:F73)</f>
        <v>152189</v>
      </c>
    </row>
    <row r="74" spans="2:8" x14ac:dyDescent="0.25">
      <c r="B74" s="18" t="s">
        <v>47</v>
      </c>
      <c r="C74" s="19">
        <f>+C56+C68</f>
        <v>83877.472137000004</v>
      </c>
      <c r="D74" s="19">
        <v>7747.6503419999499</v>
      </c>
      <c r="E74" s="19">
        <f>+E56+E68</f>
        <v>3968</v>
      </c>
      <c r="F74" s="19">
        <v>30965</v>
      </c>
      <c r="G74" s="22">
        <f>SUM(C74:F74)</f>
        <v>126558.12247899995</v>
      </c>
    </row>
    <row r="75" spans="2:8" x14ac:dyDescent="0.25">
      <c r="B75" s="18" t="s">
        <v>48</v>
      </c>
      <c r="C75" s="19">
        <v>14.7883967968622</v>
      </c>
      <c r="D75" s="19">
        <v>29.333333333333332</v>
      </c>
      <c r="E75" s="19">
        <v>46</v>
      </c>
      <c r="F75" s="19">
        <v>33.5</v>
      </c>
      <c r="G75" s="19">
        <f>AVERAGE(C75:F75)</f>
        <v>30.905432532548883</v>
      </c>
    </row>
    <row r="76" spans="2:8" x14ac:dyDescent="0.25">
      <c r="B76" s="18" t="s">
        <v>49</v>
      </c>
      <c r="C76" s="19">
        <f>+C58+C70</f>
        <v>947302</v>
      </c>
      <c r="D76" s="19">
        <v>235076</v>
      </c>
      <c r="E76" s="19">
        <v>115224</v>
      </c>
      <c r="F76" s="19">
        <v>355874</v>
      </c>
      <c r="G76" s="19">
        <f>SUM(C76:F76)</f>
        <v>1653476</v>
      </c>
    </row>
    <row r="77" spans="2:8" x14ac:dyDescent="0.25">
      <c r="B77" s="18" t="s">
        <v>50</v>
      </c>
      <c r="C77" s="19">
        <f>+C59+C71</f>
        <v>1945856.020791</v>
      </c>
      <c r="D77" s="19">
        <v>365116.41997599998</v>
      </c>
      <c r="E77" s="19">
        <v>175586.955185</v>
      </c>
      <c r="F77" s="19">
        <v>435739</v>
      </c>
      <c r="G77" s="22">
        <f>SUM(C77:F77)</f>
        <v>2922298.3959519998</v>
      </c>
    </row>
    <row r="78" spans="2:8" x14ac:dyDescent="0.25">
      <c r="B78" s="61"/>
      <c r="C78" s="61"/>
      <c r="D78" s="61"/>
      <c r="E78" s="61"/>
      <c r="F78" s="61"/>
      <c r="G78" s="61"/>
      <c r="H78" s="61"/>
    </row>
    <row r="79" spans="2:8" x14ac:dyDescent="0.25">
      <c r="B79" s="66" t="s">
        <v>55</v>
      </c>
      <c r="C79" s="67"/>
      <c r="D79" s="67"/>
      <c r="E79" s="67"/>
      <c r="F79" s="67"/>
      <c r="G79" s="68"/>
    </row>
    <row r="80" spans="2:8" x14ac:dyDescent="0.25">
      <c r="B80" s="62" t="s">
        <v>45</v>
      </c>
      <c r="C80" s="63"/>
      <c r="D80" s="63"/>
      <c r="E80" s="63"/>
      <c r="F80" s="63"/>
      <c r="G80" s="6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1007</v>
      </c>
      <c r="D84" s="24">
        <v>116</v>
      </c>
      <c r="E84" s="24">
        <v>6</v>
      </c>
      <c r="F84" s="24">
        <v>95</v>
      </c>
      <c r="G84" s="24">
        <f>SUM(C84:F84)</f>
        <v>1224</v>
      </c>
    </row>
    <row r="85" spans="2:7" x14ac:dyDescent="0.25">
      <c r="B85" s="14" t="s">
        <v>50</v>
      </c>
      <c r="C85" s="24">
        <v>21606.747025000001</v>
      </c>
      <c r="D85" s="24">
        <v>1469</v>
      </c>
      <c r="E85" s="24">
        <v>76</v>
      </c>
      <c r="F85" s="24">
        <v>1731.2422959999999</v>
      </c>
      <c r="G85" s="11">
        <f>SUM(C85:F85)</f>
        <v>24882.989321000001</v>
      </c>
    </row>
    <row r="86" spans="2:7" x14ac:dyDescent="0.25">
      <c r="B86" s="62" t="s">
        <v>51</v>
      </c>
      <c r="C86" s="63"/>
      <c r="D86" s="63"/>
      <c r="E86" s="63"/>
      <c r="F86" s="63"/>
      <c r="G86" s="6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2" t="s">
        <v>52</v>
      </c>
      <c r="C92" s="63"/>
      <c r="D92" s="63"/>
      <c r="E92" s="63"/>
      <c r="F92" s="63"/>
      <c r="G92" s="6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175.45174800000001</v>
      </c>
      <c r="D97" s="24">
        <v>0</v>
      </c>
      <c r="E97" s="24">
        <v>0</v>
      </c>
      <c r="F97" s="24">
        <v>80.965096000000003</v>
      </c>
      <c r="G97" s="11">
        <f>SUM(C97:F97)</f>
        <v>256.41684400000003</v>
      </c>
    </row>
    <row r="98" spans="2:8" x14ac:dyDescent="0.25">
      <c r="B98" s="74" t="s">
        <v>56</v>
      </c>
      <c r="C98" s="75"/>
      <c r="D98" s="75"/>
      <c r="E98" s="75"/>
      <c r="F98" s="75"/>
      <c r="G98" s="76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1017</v>
      </c>
      <c r="D102" s="45">
        <f t="shared" ref="D102:D103" si="3">+D96+D90+D84</f>
        <v>116</v>
      </c>
      <c r="E102" s="45">
        <f>+E84</f>
        <v>6</v>
      </c>
      <c r="F102" s="45">
        <f>+F96+F84</f>
        <v>102</v>
      </c>
      <c r="G102" s="19">
        <f>SUM(C102:F102)</f>
        <v>1241</v>
      </c>
    </row>
    <row r="103" spans="2:8" x14ac:dyDescent="0.25">
      <c r="B103" s="18" t="s">
        <v>50</v>
      </c>
      <c r="C103" s="45">
        <f>+C97+C85</f>
        <v>21782.198773</v>
      </c>
      <c r="D103" s="45">
        <f t="shared" si="3"/>
        <v>1469</v>
      </c>
      <c r="E103" s="45">
        <f>+E85</f>
        <v>76</v>
      </c>
      <c r="F103" s="43">
        <f>+F85+F97</f>
        <v>1812.2073919999998</v>
      </c>
      <c r="G103" s="22">
        <f>SUM(C103:F103)</f>
        <v>25139.406165</v>
      </c>
    </row>
    <row r="104" spans="2:8" x14ac:dyDescent="0.25">
      <c r="B104" s="61"/>
      <c r="C104" s="61"/>
      <c r="D104" s="61"/>
      <c r="E104" s="61"/>
      <c r="F104" s="61"/>
      <c r="G104" s="61"/>
      <c r="H104" s="61"/>
    </row>
    <row r="105" spans="2:8" x14ac:dyDescent="0.25">
      <c r="B105" s="60" t="s">
        <v>57</v>
      </c>
      <c r="C105" s="60"/>
      <c r="D105" s="60"/>
      <c r="E105" s="60"/>
      <c r="F105" s="60"/>
      <c r="G105" s="60"/>
    </row>
    <row r="106" spans="2:8" x14ac:dyDescent="0.25">
      <c r="B106" s="65" t="s">
        <v>58</v>
      </c>
      <c r="C106" s="65"/>
      <c r="D106" s="65"/>
      <c r="E106" s="65"/>
      <c r="F106" s="65"/>
      <c r="G106" s="65"/>
    </row>
    <row r="107" spans="2:8" x14ac:dyDescent="0.25">
      <c r="B107" s="14" t="s">
        <v>59</v>
      </c>
      <c r="C107" s="13">
        <v>2.8271254166873563</v>
      </c>
      <c r="D107" s="13">
        <v>2.5499999999999998</v>
      </c>
      <c r="E107" s="14">
        <v>2.92</v>
      </c>
      <c r="F107" s="13">
        <v>2.54</v>
      </c>
      <c r="G107" s="13">
        <f>AVERAGE(C107:F107)</f>
        <v>2.7092813541718392</v>
      </c>
    </row>
    <row r="108" spans="2:8" x14ac:dyDescent="0.25">
      <c r="B108" s="14" t="s">
        <v>60</v>
      </c>
      <c r="C108" s="13">
        <v>2.386497890295177</v>
      </c>
      <c r="D108" s="13">
        <v>2.65</v>
      </c>
      <c r="E108" s="14">
        <v>2.8</v>
      </c>
      <c r="F108" s="13">
        <v>2.66</v>
      </c>
      <c r="G108" s="13">
        <f>AVERAGE(C108:F108)</f>
        <v>2.6241244725737944</v>
      </c>
    </row>
    <row r="109" spans="2:8" x14ac:dyDescent="0.25">
      <c r="B109" s="14" t="s">
        <v>61</v>
      </c>
      <c r="C109" s="13">
        <v>2.1277181888440371</v>
      </c>
      <c r="D109" s="13">
        <v>2.65</v>
      </c>
      <c r="E109" s="14">
        <v>2.8</v>
      </c>
      <c r="F109" s="13">
        <v>2.69</v>
      </c>
      <c r="G109" s="13">
        <f>AVERAGE(C109:F109)</f>
        <v>2.5669295472110094</v>
      </c>
    </row>
    <row r="110" spans="2:8" x14ac:dyDescent="0.25">
      <c r="B110" s="65" t="s">
        <v>62</v>
      </c>
      <c r="C110" s="65"/>
      <c r="D110" s="65"/>
      <c r="E110" s="65"/>
      <c r="F110" s="65"/>
      <c r="G110" s="65"/>
    </row>
    <row r="111" spans="2:8" x14ac:dyDescent="0.25">
      <c r="B111" s="14" t="s">
        <v>59</v>
      </c>
      <c r="C111" s="13">
        <v>1.7999999999999987</v>
      </c>
      <c r="D111" s="13">
        <v>1.95</v>
      </c>
      <c r="E111" s="14">
        <v>1.84</v>
      </c>
      <c r="F111" s="13">
        <v>1.7999999999999987</v>
      </c>
      <c r="G111" s="13">
        <f>AVERAGE(C111:F111)</f>
        <v>1.8474999999999995</v>
      </c>
    </row>
    <row r="112" spans="2:8" x14ac:dyDescent="0.25">
      <c r="B112" s="14" t="s">
        <v>60</v>
      </c>
      <c r="C112" s="13">
        <v>2.0965909090909061</v>
      </c>
      <c r="D112" s="13">
        <v>2.16</v>
      </c>
      <c r="E112" s="14">
        <v>2.15</v>
      </c>
      <c r="F112" s="13">
        <v>2.16</v>
      </c>
      <c r="G112" s="13">
        <f>AVERAGE(C112:F112)</f>
        <v>2.1416477272727268</v>
      </c>
    </row>
    <row r="113" spans="2:9" x14ac:dyDescent="0.25">
      <c r="B113" s="14" t="s">
        <v>61</v>
      </c>
      <c r="C113" s="13">
        <v>2.0845540540540446</v>
      </c>
      <c r="D113" s="13">
        <v>2.16</v>
      </c>
      <c r="E113" s="14">
        <v>2.1800000000000002</v>
      </c>
      <c r="F113" s="14">
        <v>2.19</v>
      </c>
      <c r="G113" s="13">
        <f>AVERAGE(C113:F113)</f>
        <v>2.1536385135135112</v>
      </c>
    </row>
    <row r="114" spans="2:9" x14ac:dyDescent="0.25">
      <c r="B114" s="61"/>
      <c r="C114" s="61"/>
      <c r="D114" s="61"/>
      <c r="E114" s="61"/>
      <c r="F114" s="61"/>
      <c r="G114" s="61"/>
      <c r="H114" s="61"/>
      <c r="I114" s="61"/>
    </row>
    <row r="115" spans="2:9" x14ac:dyDescent="0.25">
      <c r="B115" s="65" t="s">
        <v>63</v>
      </c>
      <c r="C115" s="65"/>
      <c r="D115" s="65"/>
      <c r="E115" s="65"/>
      <c r="F115" s="65"/>
      <c r="G115" s="65"/>
    </row>
    <row r="116" spans="2:9" x14ac:dyDescent="0.25">
      <c r="B116" s="14" t="s">
        <v>59</v>
      </c>
      <c r="C116" s="13">
        <v>1.5130713170223988</v>
      </c>
      <c r="D116" s="13">
        <v>1.79</v>
      </c>
      <c r="E116" s="20">
        <v>2.08</v>
      </c>
      <c r="F116" s="13">
        <v>1.78</v>
      </c>
      <c r="G116" s="13">
        <f>AVERAGE(C116:F116)</f>
        <v>1.7907678292555997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20">
        <v>2.0299999999999998</v>
      </c>
      <c r="F117" s="13">
        <v>1.78</v>
      </c>
      <c r="G117" s="13">
        <f>AVERAGE(C117:F117)</f>
        <v>1.8394142545057519</v>
      </c>
    </row>
    <row r="118" spans="2:9" x14ac:dyDescent="0.25">
      <c r="B118" s="14" t="s">
        <v>61</v>
      </c>
      <c r="C118" s="13">
        <v>1.7548339299920825</v>
      </c>
      <c r="D118" s="13">
        <v>1.74</v>
      </c>
      <c r="E118" s="20">
        <v>2.25</v>
      </c>
      <c r="F118" s="13">
        <v>1.99</v>
      </c>
      <c r="G118" s="13">
        <f>AVERAGE(C118:F118)</f>
        <v>1.9337084824980206</v>
      </c>
    </row>
    <row r="119" spans="2:9" x14ac:dyDescent="0.25">
      <c r="B119" s="62" t="s">
        <v>64</v>
      </c>
      <c r="C119" s="63"/>
      <c r="D119" s="63"/>
      <c r="E119" s="63"/>
      <c r="F119" s="63"/>
      <c r="G119" s="64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42">
        <v>0</v>
      </c>
      <c r="D121" s="13">
        <v>1.43</v>
      </c>
      <c r="E121" s="14">
        <v>1.42</v>
      </c>
      <c r="F121" s="13">
        <v>1.43</v>
      </c>
      <c r="G121" s="13">
        <f>AVERAGE(C121:F121)</f>
        <v>1.0699999999999998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1.79</v>
      </c>
      <c r="F122" s="13">
        <v>1.74</v>
      </c>
      <c r="G122" s="13">
        <f>AVERAGE(C122:F122)</f>
        <v>1.5975000000000001</v>
      </c>
    </row>
    <row r="123" spans="2:9" x14ac:dyDescent="0.25">
      <c r="B123" s="61"/>
      <c r="C123" s="61"/>
      <c r="D123" s="61"/>
      <c r="E123" s="61"/>
      <c r="F123" s="61"/>
      <c r="G123" s="61"/>
      <c r="H123" s="61"/>
    </row>
    <row r="124" spans="2:9" x14ac:dyDescent="0.25">
      <c r="B124" s="66" t="s">
        <v>65</v>
      </c>
      <c r="C124" s="67"/>
      <c r="D124" s="67"/>
      <c r="E124" s="67"/>
      <c r="F124" s="67"/>
      <c r="G124" s="68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6" t="s">
        <v>67</v>
      </c>
      <c r="C126" s="67"/>
      <c r="D126" s="67"/>
      <c r="E126" s="67"/>
      <c r="F126" s="67"/>
      <c r="G126" s="68"/>
    </row>
    <row r="127" spans="2:9" x14ac:dyDescent="0.25">
      <c r="B127" s="3" t="s">
        <v>68</v>
      </c>
      <c r="C127" s="13">
        <v>1.91</v>
      </c>
      <c r="D127" s="37">
        <v>2.071866</v>
      </c>
      <c r="E127" s="33">
        <v>2.2968521515122373</v>
      </c>
      <c r="F127" s="4">
        <v>0</v>
      </c>
      <c r="G127" s="11">
        <f>AVERAGE(C127:E127)</f>
        <v>2.0929060505040789</v>
      </c>
    </row>
    <row r="128" spans="2:9" x14ac:dyDescent="0.25">
      <c r="B128" s="73"/>
      <c r="C128" s="73"/>
      <c r="D128" s="73"/>
      <c r="E128" s="73"/>
      <c r="F128" s="73"/>
      <c r="G128" s="73"/>
      <c r="H128" s="73"/>
    </row>
    <row r="129" spans="2:9" x14ac:dyDescent="0.25">
      <c r="B129" s="60" t="s">
        <v>69</v>
      </c>
      <c r="C129" s="60"/>
      <c r="D129" s="60"/>
      <c r="E129" s="60"/>
      <c r="F129" s="60"/>
      <c r="G129" s="60"/>
    </row>
    <row r="130" spans="2:9" x14ac:dyDescent="0.25">
      <c r="B130" s="14" t="s">
        <v>70</v>
      </c>
      <c r="C130" s="27">
        <v>237112</v>
      </c>
      <c r="D130" s="27">
        <v>3447</v>
      </c>
      <c r="E130" s="27">
        <v>8555</v>
      </c>
      <c r="F130" s="27">
        <v>775</v>
      </c>
      <c r="G130" s="27">
        <f>SUM(C130:F130)</f>
        <v>249889</v>
      </c>
    </row>
    <row r="131" spans="2:9" x14ac:dyDescent="0.25">
      <c r="B131" s="14" t="s">
        <v>71</v>
      </c>
      <c r="C131" s="27">
        <v>156424.13597199999</v>
      </c>
      <c r="D131" s="27">
        <v>3757</v>
      </c>
      <c r="E131" s="27">
        <v>1579</v>
      </c>
      <c r="F131" s="27">
        <v>734.61041699999998</v>
      </c>
      <c r="G131" s="11">
        <f>SUM(C131:F131)</f>
        <v>162494.74638899998</v>
      </c>
    </row>
    <row r="132" spans="2:9" x14ac:dyDescent="0.25">
      <c r="B132" s="61"/>
      <c r="C132" s="61"/>
      <c r="D132" s="61"/>
      <c r="E132" s="61"/>
      <c r="F132" s="61"/>
      <c r="G132" s="61"/>
      <c r="H132" s="61"/>
    </row>
    <row r="133" spans="2:9" x14ac:dyDescent="0.25">
      <c r="B133" s="60" t="s">
        <v>72</v>
      </c>
      <c r="C133" s="60"/>
      <c r="D133" s="60"/>
      <c r="E133" s="60"/>
      <c r="F133" s="60"/>
      <c r="G133" s="60"/>
    </row>
    <row r="134" spans="2:9" x14ac:dyDescent="0.25">
      <c r="B134" s="14" t="s">
        <v>73</v>
      </c>
      <c r="C134" s="27">
        <v>764307</v>
      </c>
      <c r="D134" s="27">
        <v>368970</v>
      </c>
      <c r="E134" s="27">
        <v>132014</v>
      </c>
      <c r="F134" s="27">
        <v>290470</v>
      </c>
      <c r="G134" s="27">
        <f>SUM(C134:F134)</f>
        <v>1555761</v>
      </c>
    </row>
    <row r="135" spans="2:9" x14ac:dyDescent="0.25">
      <c r="B135" s="61"/>
      <c r="C135" s="61"/>
      <c r="D135" s="61"/>
      <c r="E135" s="61"/>
      <c r="F135" s="61"/>
      <c r="G135" s="61"/>
      <c r="H135" s="61"/>
    </row>
    <row r="136" spans="2:9" ht="21" x14ac:dyDescent="0.35">
      <c r="B136" s="69" t="s">
        <v>74</v>
      </c>
      <c r="C136" s="69"/>
      <c r="D136" s="69"/>
      <c r="E136" s="69"/>
      <c r="F136" s="69"/>
      <c r="G136" s="69"/>
    </row>
    <row r="137" spans="2:9" x14ac:dyDescent="0.25">
      <c r="B137" s="60" t="s">
        <v>75</v>
      </c>
      <c r="C137" s="60"/>
      <c r="D137" s="60"/>
      <c r="E137" s="60"/>
      <c r="F137" s="60"/>
      <c r="G137" s="60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15436</v>
      </c>
      <c r="G138" s="27">
        <f>SUM(C138:F138)</f>
        <v>15436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200</v>
      </c>
      <c r="G139" s="27">
        <f>SUM(C139:F139)</f>
        <v>200</v>
      </c>
      <c r="H139" s="7"/>
      <c r="I139" s="7"/>
    </row>
    <row r="140" spans="2:9" x14ac:dyDescent="0.25">
      <c r="B140" s="61"/>
      <c r="C140" s="61"/>
      <c r="D140" s="61"/>
      <c r="E140" s="61"/>
      <c r="F140" s="61"/>
      <c r="G140" s="61"/>
      <c r="H140" s="61"/>
      <c r="I140" s="7"/>
    </row>
    <row r="141" spans="2:9" x14ac:dyDescent="0.25">
      <c r="B141" s="61"/>
      <c r="C141" s="61"/>
      <c r="D141" s="61"/>
      <c r="E141" s="61"/>
      <c r="F141" s="61"/>
      <c r="G141" s="61"/>
      <c r="H141" s="61"/>
    </row>
    <row r="142" spans="2:9" ht="21" x14ac:dyDescent="0.35">
      <c r="B142" s="70" t="s">
        <v>78</v>
      </c>
      <c r="C142" s="71"/>
      <c r="D142" s="71"/>
      <c r="E142" s="71"/>
      <c r="F142" s="71"/>
      <c r="G142" s="72"/>
    </row>
    <row r="143" spans="2:9" x14ac:dyDescent="0.25">
      <c r="B143" s="66" t="s">
        <v>79</v>
      </c>
      <c r="C143" s="67"/>
      <c r="D143" s="67"/>
      <c r="E143" s="67"/>
      <c r="F143" s="67"/>
      <c r="G143" s="68"/>
    </row>
    <row r="144" spans="2:9" x14ac:dyDescent="0.25">
      <c r="B144" s="61"/>
      <c r="C144" s="61"/>
      <c r="D144" s="61"/>
      <c r="E144" s="61"/>
      <c r="F144" s="61"/>
      <c r="G144" s="61"/>
      <c r="H144" s="61"/>
    </row>
    <row r="145" spans="2:8" x14ac:dyDescent="0.25">
      <c r="B145" s="65" t="s">
        <v>80</v>
      </c>
      <c r="C145" s="65"/>
      <c r="D145" s="65"/>
      <c r="E145" s="65"/>
      <c r="F145" s="65"/>
      <c r="G145" s="65"/>
    </row>
    <row r="146" spans="2:8" x14ac:dyDescent="0.25">
      <c r="B146" s="14" t="s">
        <v>81</v>
      </c>
      <c r="C146" s="27">
        <v>0</v>
      </c>
      <c r="D146" s="27">
        <v>934</v>
      </c>
      <c r="E146" s="27"/>
      <c r="F146" s="1">
        <v>227</v>
      </c>
      <c r="G146" s="27">
        <f>SUM(C146:F146)</f>
        <v>1161</v>
      </c>
    </row>
    <row r="147" spans="2:8" x14ac:dyDescent="0.25">
      <c r="B147" s="14" t="s">
        <v>82</v>
      </c>
      <c r="C147" s="27">
        <v>0</v>
      </c>
      <c r="D147" s="27">
        <v>20.91</v>
      </c>
      <c r="E147" s="27"/>
      <c r="F147" s="29">
        <v>2.7214999999999998</v>
      </c>
      <c r="G147" s="11">
        <f>SUM(C147:F147)</f>
        <v>23.631499999999999</v>
      </c>
    </row>
    <row r="148" spans="2:8" x14ac:dyDescent="0.25">
      <c r="B148" s="61"/>
      <c r="C148" s="61"/>
      <c r="D148" s="61"/>
      <c r="E148" s="61"/>
      <c r="F148" s="61"/>
      <c r="G148" s="61"/>
      <c r="H148" s="61"/>
    </row>
    <row r="149" spans="2:8" x14ac:dyDescent="0.25">
      <c r="B149" s="65" t="s">
        <v>83</v>
      </c>
      <c r="C149" s="65"/>
      <c r="D149" s="65"/>
      <c r="E149" s="65"/>
      <c r="F149" s="65"/>
      <c r="G149" s="65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1"/>
      <c r="C152" s="61"/>
      <c r="D152" s="61"/>
      <c r="E152" s="61"/>
      <c r="F152" s="61"/>
      <c r="G152" s="61"/>
      <c r="H152" s="61"/>
    </row>
    <row r="153" spans="2:8" x14ac:dyDescent="0.25">
      <c r="B153" s="65" t="s">
        <v>86</v>
      </c>
      <c r="C153" s="65"/>
      <c r="D153" s="65"/>
      <c r="E153" s="65"/>
      <c r="F153" s="65"/>
      <c r="G153" s="65"/>
    </row>
    <row r="154" spans="2:8" x14ac:dyDescent="0.25">
      <c r="B154" s="14" t="s">
        <v>87</v>
      </c>
      <c r="C154" s="29">
        <v>0</v>
      </c>
      <c r="D154" s="29">
        <v>88</v>
      </c>
      <c r="E154" s="29">
        <v>1</v>
      </c>
      <c r="F154" s="29">
        <v>0</v>
      </c>
      <c r="G154" s="27">
        <f>SUM(C154:F154)</f>
        <v>89</v>
      </c>
      <c r="H154"/>
    </row>
    <row r="155" spans="2:8" x14ac:dyDescent="0.25">
      <c r="B155" s="14" t="s">
        <v>88</v>
      </c>
      <c r="C155" s="29">
        <v>0</v>
      </c>
      <c r="D155" s="29">
        <v>1.31</v>
      </c>
      <c r="E155" s="29">
        <v>4.4999999999999998E-2</v>
      </c>
      <c r="F155" s="29">
        <v>0</v>
      </c>
      <c r="G155" s="11">
        <f>SUM(C155:F155)</f>
        <v>1.355</v>
      </c>
      <c r="H155"/>
    </row>
    <row r="156" spans="2:8" x14ac:dyDescent="0.25">
      <c r="B156" s="61"/>
      <c r="C156" s="61"/>
      <c r="D156" s="61"/>
      <c r="E156" s="61"/>
      <c r="F156" s="61"/>
      <c r="G156" s="61"/>
      <c r="H156" s="61"/>
    </row>
    <row r="157" spans="2:8" x14ac:dyDescent="0.25">
      <c r="B157" s="62" t="s">
        <v>89</v>
      </c>
      <c r="C157" s="63"/>
      <c r="D157" s="63"/>
      <c r="E157" s="63"/>
      <c r="F157" s="63"/>
      <c r="G157" s="64"/>
    </row>
    <row r="158" spans="2:8" x14ac:dyDescent="0.25">
      <c r="B158" s="18" t="s">
        <v>90</v>
      </c>
      <c r="C158" s="19">
        <v>0</v>
      </c>
      <c r="D158" s="19">
        <v>1022</v>
      </c>
      <c r="E158" s="19">
        <f>+E154+E150+E146</f>
        <v>1</v>
      </c>
      <c r="F158" s="19">
        <f>F146+F154</f>
        <v>227</v>
      </c>
      <c r="G158" s="19">
        <f>SUM(C158:F158)</f>
        <v>1250</v>
      </c>
    </row>
    <row r="159" spans="2:8" x14ac:dyDescent="0.25">
      <c r="B159" s="18" t="s">
        <v>91</v>
      </c>
      <c r="C159" s="19">
        <v>0</v>
      </c>
      <c r="D159" s="19">
        <v>22.22</v>
      </c>
      <c r="E159" s="19">
        <f t="shared" ref="E159" si="4">+E155+E151+E147</f>
        <v>4.4999999999999998E-2</v>
      </c>
      <c r="F159" s="19">
        <f>F147+F155</f>
        <v>2.7214999999999998</v>
      </c>
      <c r="G159" s="22">
        <f>SUM(C159:F159)</f>
        <v>24.986499999999999</v>
      </c>
    </row>
    <row r="160" spans="2:8" x14ac:dyDescent="0.25">
      <c r="B160" s="61"/>
      <c r="C160" s="61"/>
      <c r="D160" s="61"/>
      <c r="E160" s="61"/>
      <c r="F160" s="61"/>
      <c r="G160" s="61"/>
      <c r="H160" s="61"/>
    </row>
    <row r="161" spans="2:8" x14ac:dyDescent="0.25">
      <c r="B161" s="60" t="s">
        <v>92</v>
      </c>
      <c r="C161" s="60"/>
      <c r="D161" s="60"/>
      <c r="E161" s="60"/>
      <c r="F161" s="60"/>
      <c r="G161" s="60"/>
    </row>
    <row r="162" spans="2:8" x14ac:dyDescent="0.25">
      <c r="B162" s="14" t="s">
        <v>87</v>
      </c>
      <c r="C162" s="27">
        <v>2982</v>
      </c>
      <c r="D162" s="27">
        <v>36738</v>
      </c>
      <c r="E162" s="27">
        <v>4837</v>
      </c>
      <c r="F162" s="27">
        <v>24597</v>
      </c>
      <c r="G162" s="27">
        <f>SUM(C162:F162)</f>
        <v>69154</v>
      </c>
    </row>
    <row r="163" spans="2:8" x14ac:dyDescent="0.25">
      <c r="B163" s="14" t="s">
        <v>88</v>
      </c>
      <c r="C163" s="27">
        <f>73325127/1000000</f>
        <v>73.325126999999995</v>
      </c>
      <c r="D163" s="27">
        <v>260.87920700000001</v>
      </c>
      <c r="E163" s="27">
        <v>75</v>
      </c>
      <c r="F163" s="27">
        <v>155.13153299999999</v>
      </c>
      <c r="G163" s="11">
        <f>SUM(C163:F163)</f>
        <v>564.33586700000001</v>
      </c>
    </row>
    <row r="164" spans="2:8" x14ac:dyDescent="0.25">
      <c r="B164" s="61"/>
      <c r="C164" s="61"/>
      <c r="D164" s="61"/>
      <c r="E164" s="61"/>
      <c r="F164" s="61"/>
      <c r="G164" s="61"/>
    </row>
    <row r="165" spans="2:8" x14ac:dyDescent="0.25">
      <c r="B165" s="66" t="s">
        <v>93</v>
      </c>
      <c r="C165" s="67"/>
      <c r="D165" s="67"/>
      <c r="E165" s="67"/>
      <c r="F165" s="67"/>
      <c r="G165" s="68"/>
    </row>
    <row r="166" spans="2:8" x14ac:dyDescent="0.25">
      <c r="B166" s="62" t="s">
        <v>94</v>
      </c>
      <c r="C166" s="63"/>
      <c r="D166" s="63"/>
      <c r="E166" s="63"/>
      <c r="F166" s="63"/>
      <c r="G166" s="64"/>
    </row>
    <row r="167" spans="2:8" x14ac:dyDescent="0.25">
      <c r="B167" s="14" t="s">
        <v>95</v>
      </c>
      <c r="C167" s="27">
        <v>818</v>
      </c>
      <c r="D167" s="27">
        <v>3729</v>
      </c>
      <c r="E167" s="27">
        <v>104</v>
      </c>
      <c r="F167" s="27">
        <v>613</v>
      </c>
      <c r="G167" s="27">
        <f>SUM(C167:F167)</f>
        <v>5264</v>
      </c>
    </row>
    <row r="168" spans="2:8" x14ac:dyDescent="0.25">
      <c r="B168" s="14" t="s">
        <v>96</v>
      </c>
      <c r="C168" s="27">
        <f>28630000/1000000</f>
        <v>28.63</v>
      </c>
      <c r="D168" s="27">
        <v>78.569998999999996</v>
      </c>
      <c r="E168" s="27">
        <v>2.6</v>
      </c>
      <c r="F168" s="27">
        <v>21.74</v>
      </c>
      <c r="G168" s="11">
        <f>SUM(C168:F168)</f>
        <v>131.53999899999999</v>
      </c>
    </row>
    <row r="169" spans="2:8" x14ac:dyDescent="0.25">
      <c r="B169" s="61"/>
      <c r="C169" s="61"/>
      <c r="D169" s="61"/>
      <c r="E169" s="61"/>
      <c r="F169" s="61"/>
      <c r="G169" s="61"/>
    </row>
    <row r="170" spans="2:8" x14ac:dyDescent="0.25">
      <c r="B170" s="62" t="s">
        <v>97</v>
      </c>
      <c r="C170" s="63"/>
      <c r="D170" s="63"/>
      <c r="E170" s="63"/>
      <c r="F170" s="63"/>
      <c r="G170" s="64"/>
    </row>
    <row r="171" spans="2:8" x14ac:dyDescent="0.25">
      <c r="B171" s="14" t="s">
        <v>98</v>
      </c>
      <c r="C171" s="27">
        <v>1975</v>
      </c>
      <c r="D171" s="27">
        <v>540</v>
      </c>
      <c r="E171" s="27">
        <v>148</v>
      </c>
      <c r="F171" s="27">
        <v>443</v>
      </c>
      <c r="G171" s="27">
        <f>SUM(C171:F171)</f>
        <v>3106</v>
      </c>
    </row>
    <row r="172" spans="2:8" x14ac:dyDescent="0.25">
      <c r="B172" s="14" t="s">
        <v>96</v>
      </c>
      <c r="C172" s="27">
        <f>69125000/1000000</f>
        <v>69.125</v>
      </c>
      <c r="D172" s="27">
        <v>11.361000000000001</v>
      </c>
      <c r="E172" s="27">
        <v>3.7</v>
      </c>
      <c r="F172" s="27">
        <v>9.702</v>
      </c>
      <c r="G172" s="11">
        <f>SUM(C172:F172)</f>
        <v>93.888000000000005</v>
      </c>
    </row>
    <row r="173" spans="2:8" x14ac:dyDescent="0.25">
      <c r="B173" s="61"/>
      <c r="C173" s="61"/>
      <c r="D173" s="61"/>
      <c r="E173" s="61"/>
      <c r="F173" s="61"/>
      <c r="G173" s="61"/>
      <c r="H173" s="61"/>
    </row>
    <row r="174" spans="2:8" x14ac:dyDescent="0.25">
      <c r="B174" s="62" t="s">
        <v>99</v>
      </c>
      <c r="C174" s="63"/>
      <c r="D174" s="63"/>
      <c r="E174" s="63"/>
      <c r="F174" s="63"/>
      <c r="G174" s="64"/>
    </row>
    <row r="175" spans="2:8" x14ac:dyDescent="0.25">
      <c r="B175" s="14" t="s">
        <v>98</v>
      </c>
      <c r="C175" s="27">
        <v>184</v>
      </c>
      <c r="D175" s="27">
        <v>323</v>
      </c>
      <c r="E175" s="27">
        <v>130</v>
      </c>
      <c r="F175" s="27">
        <v>36</v>
      </c>
      <c r="G175" s="27">
        <f>SUM(C175:F175)</f>
        <v>673</v>
      </c>
    </row>
    <row r="176" spans="2:8" x14ac:dyDescent="0.25">
      <c r="B176" s="14" t="s">
        <v>96</v>
      </c>
      <c r="C176" s="27">
        <f>19380000/1000000</f>
        <v>19.38</v>
      </c>
      <c r="D176" s="27">
        <v>34.17</v>
      </c>
      <c r="E176" s="27">
        <v>7.77</v>
      </c>
      <c r="F176" s="27">
        <v>3.56</v>
      </c>
      <c r="G176" s="11">
        <f>SUM(C176:F176)</f>
        <v>64.88</v>
      </c>
    </row>
    <row r="177" spans="2:8" x14ac:dyDescent="0.25">
      <c r="B177" s="61"/>
      <c r="C177" s="61"/>
      <c r="D177" s="61"/>
      <c r="E177" s="61"/>
      <c r="F177" s="61"/>
      <c r="G177" s="61"/>
      <c r="H177" s="61"/>
    </row>
    <row r="178" spans="2:8" x14ac:dyDescent="0.25">
      <c r="B178" s="62" t="s">
        <v>100</v>
      </c>
      <c r="C178" s="63"/>
      <c r="D178" s="63"/>
      <c r="E178" s="63"/>
      <c r="F178" s="63"/>
      <c r="G178" s="64"/>
    </row>
    <row r="179" spans="2:8" x14ac:dyDescent="0.25">
      <c r="B179" s="14" t="s">
        <v>98</v>
      </c>
      <c r="C179" s="27">
        <v>385</v>
      </c>
      <c r="D179" s="27">
        <v>176506</v>
      </c>
      <c r="E179" s="27">
        <v>0</v>
      </c>
      <c r="F179" s="27">
        <v>0</v>
      </c>
      <c r="G179" s="27">
        <f>SUM(C179:F179)</f>
        <v>176891</v>
      </c>
    </row>
    <row r="180" spans="2:8" x14ac:dyDescent="0.25">
      <c r="B180" s="14" t="s">
        <v>96</v>
      </c>
      <c r="C180" s="27">
        <f>11850000/1000000</f>
        <v>11.85</v>
      </c>
      <c r="D180" s="27">
        <v>3853.5944426759902</v>
      </c>
      <c r="E180" s="27">
        <v>0</v>
      </c>
      <c r="F180" s="27">
        <v>0</v>
      </c>
      <c r="G180" s="11">
        <f>SUM(C180:F180)</f>
        <v>3865.4444426759901</v>
      </c>
    </row>
    <row r="181" spans="2:8" x14ac:dyDescent="0.25">
      <c r="B181" s="61"/>
      <c r="C181" s="61"/>
      <c r="D181" s="61"/>
      <c r="E181" s="61"/>
      <c r="F181" s="61"/>
      <c r="G181" s="61"/>
      <c r="H181" s="61"/>
    </row>
    <row r="182" spans="2:8" x14ac:dyDescent="0.25">
      <c r="B182" s="60" t="s">
        <v>101</v>
      </c>
      <c r="C182" s="60"/>
      <c r="D182" s="60"/>
      <c r="E182" s="60"/>
      <c r="F182" s="60"/>
      <c r="G182" s="60"/>
    </row>
    <row r="183" spans="2:8" x14ac:dyDescent="0.25">
      <c r="B183" s="18" t="s">
        <v>102</v>
      </c>
      <c r="C183" s="19">
        <f>+C179+C175+C171+C167</f>
        <v>3362</v>
      </c>
      <c r="D183" s="19">
        <v>181098</v>
      </c>
      <c r="E183" s="19">
        <f>+E167+E171+E175+E179</f>
        <v>382</v>
      </c>
      <c r="F183" s="19">
        <f>+F179+F175+F171+F167</f>
        <v>1092</v>
      </c>
      <c r="G183" s="19">
        <f>SUM(C183:F183)</f>
        <v>185934</v>
      </c>
    </row>
    <row r="184" spans="2:8" x14ac:dyDescent="0.25">
      <c r="B184" s="18" t="s">
        <v>103</v>
      </c>
      <c r="C184" s="19">
        <f>+C180+C176+C172+C168</f>
        <v>128.98499999999999</v>
      </c>
      <c r="D184" s="19">
        <v>3977.69544167599</v>
      </c>
      <c r="E184" s="19">
        <f>+E168+E172+E176+E180</f>
        <v>14.07</v>
      </c>
      <c r="F184" s="19">
        <f>+F180+F176+F172+F168</f>
        <v>35.001999999999995</v>
      </c>
      <c r="G184" s="22">
        <f>SUM(C184:F184)</f>
        <v>4155.7524416759898</v>
      </c>
    </row>
    <row r="185" spans="2:8" x14ac:dyDescent="0.25">
      <c r="B185" s="61"/>
      <c r="C185" s="61"/>
      <c r="D185" s="61"/>
      <c r="E185" s="61"/>
      <c r="F185" s="61"/>
      <c r="G185" s="61"/>
      <c r="H185" s="61"/>
    </row>
    <row r="186" spans="2:8" x14ac:dyDescent="0.25">
      <c r="B186" s="60" t="s">
        <v>104</v>
      </c>
      <c r="C186" s="60"/>
      <c r="D186" s="60"/>
      <c r="E186" s="60"/>
      <c r="F186" s="60"/>
      <c r="G186" s="60"/>
    </row>
    <row r="187" spans="2:8" x14ac:dyDescent="0.25">
      <c r="B187" s="14" t="s">
        <v>105</v>
      </c>
      <c r="C187" s="27">
        <v>3751</v>
      </c>
      <c r="D187" s="27">
        <v>37</v>
      </c>
      <c r="E187" s="27">
        <v>62</v>
      </c>
      <c r="F187" s="27">
        <f>F166+F171+F175+F179+F162</f>
        <v>25076</v>
      </c>
      <c r="G187" s="27">
        <f>SUM(C187:F187)</f>
        <v>28926</v>
      </c>
    </row>
    <row r="188" spans="2:8" x14ac:dyDescent="0.25">
      <c r="B188" s="14" t="s">
        <v>106</v>
      </c>
      <c r="C188" s="27">
        <f>32621036/1000000</f>
        <v>32.621035999999997</v>
      </c>
      <c r="D188" s="27">
        <v>64.464782999999997</v>
      </c>
      <c r="E188" s="27">
        <v>2.4649999999999999</v>
      </c>
      <c r="F188" s="27">
        <f>F167+F172+F176+F180+F163</f>
        <v>781.39353299999993</v>
      </c>
      <c r="G188" s="11">
        <f>SUM(C188:F188)</f>
        <v>880.94435199999998</v>
      </c>
    </row>
    <row r="189" spans="2:8" x14ac:dyDescent="0.25">
      <c r="B189" s="61"/>
      <c r="C189" s="61"/>
      <c r="D189" s="61"/>
      <c r="E189" s="61"/>
      <c r="F189" s="61"/>
      <c r="G189" s="61"/>
      <c r="H189" s="61"/>
    </row>
    <row r="190" spans="2:8" x14ac:dyDescent="0.25">
      <c r="B190" s="60" t="s">
        <v>107</v>
      </c>
      <c r="C190" s="60"/>
      <c r="D190" s="60"/>
      <c r="E190" s="60"/>
      <c r="F190" s="60"/>
      <c r="G190" s="60"/>
    </row>
    <row r="191" spans="2:8" x14ac:dyDescent="0.25">
      <c r="B191" s="18" t="s">
        <v>108</v>
      </c>
      <c r="C191" s="19">
        <f>C187+C162+C183</f>
        <v>10095</v>
      </c>
      <c r="D191" s="19">
        <v>218895</v>
      </c>
      <c r="E191" s="19">
        <f>+E162+E183+E187</f>
        <v>5281</v>
      </c>
      <c r="F191" s="19">
        <f>F158+F162+F183+F187</f>
        <v>50992</v>
      </c>
      <c r="G191" s="19">
        <f>SUM(C191:F191)</f>
        <v>285263</v>
      </c>
    </row>
    <row r="192" spans="2:8" x14ac:dyDescent="0.25">
      <c r="B192" s="18" t="s">
        <v>109</v>
      </c>
      <c r="C192" s="19">
        <f>C188+C163+C184</f>
        <v>234.93116299999997</v>
      </c>
      <c r="D192" s="19">
        <v>4325.2594316759905</v>
      </c>
      <c r="E192" s="19">
        <f>+E163+E184+E188</f>
        <v>91.534999999999997</v>
      </c>
      <c r="F192" s="19">
        <f>F159+F184+F163+F188</f>
        <v>974.24856599999998</v>
      </c>
      <c r="G192" s="22">
        <f>SUM(C192:F192)</f>
        <v>5625.9741606759908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49:G149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73:H173"/>
    <mergeCell ref="B152:H152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86:G186"/>
    <mergeCell ref="B189:H189"/>
    <mergeCell ref="B190:G190"/>
    <mergeCell ref="B174:G174"/>
    <mergeCell ref="B177:H177"/>
    <mergeCell ref="B178:G178"/>
    <mergeCell ref="B181:H181"/>
    <mergeCell ref="B182:G182"/>
    <mergeCell ref="B185:H18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EE4E-671C-4493-8443-5DF52D378DBF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1" t="s">
        <v>1</v>
      </c>
      <c r="D2" s="82"/>
      <c r="E2" s="82"/>
      <c r="F2" s="82"/>
      <c r="G2" s="8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0" t="s">
        <v>7</v>
      </c>
      <c r="C4" s="71"/>
      <c r="D4" s="71"/>
      <c r="E4" s="71"/>
      <c r="F4" s="71"/>
      <c r="G4" s="72"/>
    </row>
    <row r="5" spans="1:7" x14ac:dyDescent="0.25">
      <c r="B5" s="66" t="s">
        <v>8</v>
      </c>
      <c r="C5" s="67"/>
      <c r="D5" s="67"/>
      <c r="E5" s="67"/>
      <c r="F5" s="67"/>
      <c r="G5" s="68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1"/>
      <c r="C9" s="61"/>
      <c r="D9" s="61"/>
      <c r="E9" s="61"/>
      <c r="F9" s="61"/>
      <c r="G9" s="61"/>
    </row>
    <row r="10" spans="1:7" x14ac:dyDescent="0.25">
      <c r="B10" s="66" t="s">
        <v>12</v>
      </c>
      <c r="C10" s="67"/>
      <c r="D10" s="67"/>
      <c r="E10" s="67"/>
      <c r="F10" s="67"/>
      <c r="G10" s="68"/>
    </row>
    <row r="11" spans="1:7" x14ac:dyDescent="0.25">
      <c r="B11" s="62" t="s">
        <v>13</v>
      </c>
      <c r="C11" s="63"/>
      <c r="D11" s="63"/>
      <c r="E11" s="63"/>
      <c r="F11" s="63"/>
      <c r="G11" s="64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1"/>
      <c r="C17" s="61"/>
      <c r="D17" s="61"/>
      <c r="E17" s="61"/>
      <c r="F17" s="61"/>
      <c r="G17" s="61"/>
    </row>
    <row r="18" spans="2:8" x14ac:dyDescent="0.25">
      <c r="B18" s="62" t="s">
        <v>19</v>
      </c>
      <c r="C18" s="63"/>
      <c r="D18" s="63"/>
      <c r="E18" s="63"/>
      <c r="F18" s="63"/>
      <c r="G18" s="64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84"/>
      <c r="C20" s="84"/>
      <c r="D20" s="84"/>
      <c r="E20" s="84"/>
      <c r="F20" s="84"/>
      <c r="G20" s="84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1"/>
      <c r="C28" s="61"/>
      <c r="D28" s="61"/>
      <c r="E28" s="61"/>
      <c r="F28" s="61"/>
      <c r="G28" s="61"/>
      <c r="H28" s="61"/>
    </row>
    <row r="29" spans="2:8" x14ac:dyDescent="0.25">
      <c r="B29" s="66" t="s">
        <v>26</v>
      </c>
      <c r="C29" s="67"/>
      <c r="D29" s="67"/>
      <c r="E29" s="67"/>
      <c r="F29" s="67"/>
      <c r="G29" s="68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1"/>
      <c r="C31" s="61"/>
      <c r="D31" s="61"/>
      <c r="E31" s="61"/>
      <c r="F31" s="61"/>
      <c r="G31" s="61"/>
      <c r="H31" s="61"/>
    </row>
    <row r="32" spans="2:8" x14ac:dyDescent="0.25">
      <c r="B32" s="66" t="s">
        <v>28</v>
      </c>
      <c r="C32" s="67"/>
      <c r="D32" s="67"/>
      <c r="E32" s="67"/>
      <c r="F32" s="67"/>
      <c r="G32" s="68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0" t="s">
        <v>33</v>
      </c>
      <c r="C38" s="71"/>
      <c r="D38" s="71"/>
      <c r="E38" s="71"/>
      <c r="F38" s="71"/>
      <c r="G38" s="72"/>
    </row>
    <row r="39" spans="2:9" x14ac:dyDescent="0.25">
      <c r="B39" s="66" t="s">
        <v>34</v>
      </c>
      <c r="C39" s="67"/>
      <c r="D39" s="67"/>
      <c r="E39" s="67"/>
      <c r="F39" s="67"/>
      <c r="G39" s="68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1"/>
      <c r="C42" s="61"/>
      <c r="D42" s="61"/>
      <c r="E42" s="61"/>
      <c r="F42" s="61"/>
      <c r="G42" s="61"/>
      <c r="H42" s="61"/>
      <c r="I42" s="7"/>
    </row>
    <row r="43" spans="2:9" x14ac:dyDescent="0.25">
      <c r="B43" s="60" t="s">
        <v>37</v>
      </c>
      <c r="C43" s="60"/>
      <c r="D43" s="60"/>
      <c r="E43" s="60"/>
      <c r="F43" s="60"/>
      <c r="G43" s="60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1"/>
      <c r="C46" s="61"/>
      <c r="D46" s="61"/>
      <c r="E46" s="61"/>
      <c r="F46" s="61"/>
      <c r="G46" s="61"/>
      <c r="H46" s="61"/>
      <c r="I46" s="7"/>
    </row>
    <row r="47" spans="2:9" x14ac:dyDescent="0.25">
      <c r="B47" s="60" t="s">
        <v>40</v>
      </c>
      <c r="C47" s="60"/>
      <c r="D47" s="60"/>
      <c r="E47" s="60"/>
      <c r="F47" s="60"/>
      <c r="G47" s="60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1"/>
      <c r="C50" s="61"/>
      <c r="D50" s="61"/>
      <c r="E50" s="61"/>
      <c r="F50" s="61"/>
      <c r="G50" s="61"/>
      <c r="H50" s="61"/>
    </row>
    <row r="51" spans="2:9" ht="21" x14ac:dyDescent="0.35">
      <c r="B51" s="70" t="s">
        <v>43</v>
      </c>
      <c r="C51" s="71"/>
      <c r="D51" s="71"/>
      <c r="E51" s="71"/>
      <c r="F51" s="71"/>
      <c r="G51" s="72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60" t="s">
        <v>44</v>
      </c>
      <c r="C53" s="60"/>
      <c r="D53" s="60"/>
      <c r="E53" s="60"/>
      <c r="F53" s="60"/>
      <c r="G53" s="60"/>
    </row>
    <row r="54" spans="2:9" x14ac:dyDescent="0.25">
      <c r="B54" s="65" t="s">
        <v>45</v>
      </c>
      <c r="C54" s="65"/>
      <c r="D54" s="65"/>
      <c r="E54" s="65"/>
      <c r="F54" s="65"/>
      <c r="G54" s="65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65" t="s">
        <v>51</v>
      </c>
      <c r="C60" s="65"/>
      <c r="D60" s="65"/>
      <c r="E60" s="65"/>
      <c r="F60" s="65"/>
      <c r="G60" s="65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5" t="s">
        <v>52</v>
      </c>
      <c r="C66" s="65"/>
      <c r="D66" s="65"/>
      <c r="E66" s="65"/>
      <c r="F66" s="65"/>
      <c r="G66" s="65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74" t="s">
        <v>53</v>
      </c>
      <c r="C72" s="75"/>
      <c r="D72" s="75"/>
      <c r="E72" s="75"/>
      <c r="F72" s="75"/>
      <c r="G72" s="76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1"/>
      <c r="C78" s="61"/>
      <c r="D78" s="61"/>
      <c r="E78" s="61"/>
      <c r="F78" s="61"/>
      <c r="G78" s="61"/>
      <c r="H78" s="61"/>
    </row>
    <row r="79" spans="2:8" x14ac:dyDescent="0.25">
      <c r="B79" s="66" t="s">
        <v>55</v>
      </c>
      <c r="C79" s="67"/>
      <c r="D79" s="67"/>
      <c r="E79" s="67"/>
      <c r="F79" s="67"/>
      <c r="G79" s="68"/>
    </row>
    <row r="80" spans="2:8" x14ac:dyDescent="0.25">
      <c r="B80" s="62" t="s">
        <v>45</v>
      </c>
      <c r="C80" s="63"/>
      <c r="D80" s="63"/>
      <c r="E80" s="63"/>
      <c r="F80" s="63"/>
      <c r="G80" s="6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62" t="s">
        <v>51</v>
      </c>
      <c r="C86" s="63"/>
      <c r="D86" s="63"/>
      <c r="E86" s="63"/>
      <c r="F86" s="63"/>
      <c r="G86" s="6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2" t="s">
        <v>52</v>
      </c>
      <c r="C92" s="63"/>
      <c r="D92" s="63"/>
      <c r="E92" s="63"/>
      <c r="F92" s="63"/>
      <c r="G92" s="6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74" t="s">
        <v>56</v>
      </c>
      <c r="C98" s="75"/>
      <c r="D98" s="75"/>
      <c r="E98" s="75"/>
      <c r="F98" s="75"/>
      <c r="G98" s="76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1"/>
      <c r="C104" s="61"/>
      <c r="D104" s="61"/>
      <c r="E104" s="61"/>
      <c r="F104" s="61"/>
      <c r="G104" s="61"/>
      <c r="H104" s="61"/>
    </row>
    <row r="105" spans="2:8" x14ac:dyDescent="0.25">
      <c r="B105" s="60" t="s">
        <v>57</v>
      </c>
      <c r="C105" s="60"/>
      <c r="D105" s="60"/>
      <c r="E105" s="60"/>
      <c r="F105" s="60"/>
      <c r="G105" s="60"/>
    </row>
    <row r="106" spans="2:8" x14ac:dyDescent="0.25">
      <c r="B106" s="65" t="s">
        <v>58</v>
      </c>
      <c r="C106" s="65"/>
      <c r="D106" s="65"/>
      <c r="E106" s="65"/>
      <c r="F106" s="65"/>
      <c r="G106" s="65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65" t="s">
        <v>62</v>
      </c>
      <c r="C110" s="65"/>
      <c r="D110" s="65"/>
      <c r="E110" s="65"/>
      <c r="F110" s="65"/>
      <c r="G110" s="65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1"/>
      <c r="C114" s="61"/>
      <c r="D114" s="61"/>
      <c r="E114" s="61"/>
      <c r="F114" s="61"/>
      <c r="G114" s="61"/>
      <c r="H114" s="61"/>
      <c r="I114" s="61"/>
    </row>
    <row r="115" spans="2:9" x14ac:dyDescent="0.25">
      <c r="B115" s="65" t="s">
        <v>63</v>
      </c>
      <c r="C115" s="65"/>
      <c r="D115" s="65"/>
      <c r="E115" s="65"/>
      <c r="F115" s="65"/>
      <c r="G115" s="65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62" t="s">
        <v>64</v>
      </c>
      <c r="C119" s="63"/>
      <c r="D119" s="63"/>
      <c r="E119" s="63"/>
      <c r="F119" s="63"/>
      <c r="G119" s="64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1"/>
      <c r="C123" s="61"/>
      <c r="D123" s="61"/>
      <c r="E123" s="61"/>
      <c r="F123" s="61"/>
      <c r="G123" s="61"/>
      <c r="H123" s="61"/>
    </row>
    <row r="124" spans="2:9" x14ac:dyDescent="0.25">
      <c r="B124" s="66" t="s">
        <v>65</v>
      </c>
      <c r="C124" s="67"/>
      <c r="D124" s="67"/>
      <c r="E124" s="67"/>
      <c r="F124" s="67"/>
      <c r="G124" s="68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6" t="s">
        <v>67</v>
      </c>
      <c r="C126" s="67"/>
      <c r="D126" s="67"/>
      <c r="E126" s="67"/>
      <c r="F126" s="67"/>
      <c r="G126" s="68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73"/>
      <c r="C128" s="73"/>
      <c r="D128" s="73"/>
      <c r="E128" s="73"/>
      <c r="F128" s="73"/>
      <c r="G128" s="73"/>
      <c r="H128" s="73"/>
    </row>
    <row r="129" spans="2:9" x14ac:dyDescent="0.25">
      <c r="B129" s="60" t="s">
        <v>69</v>
      </c>
      <c r="C129" s="60"/>
      <c r="D129" s="60"/>
      <c r="E129" s="60"/>
      <c r="F129" s="60"/>
      <c r="G129" s="60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1"/>
      <c r="C132" s="61"/>
      <c r="D132" s="61"/>
      <c r="E132" s="61"/>
      <c r="F132" s="61"/>
      <c r="G132" s="61"/>
      <c r="H132" s="61"/>
    </row>
    <row r="133" spans="2:9" x14ac:dyDescent="0.25">
      <c r="B133" s="60" t="s">
        <v>72</v>
      </c>
      <c r="C133" s="60"/>
      <c r="D133" s="60"/>
      <c r="E133" s="60"/>
      <c r="F133" s="60"/>
      <c r="G133" s="60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1"/>
      <c r="C135" s="61"/>
      <c r="D135" s="61"/>
      <c r="E135" s="61"/>
      <c r="F135" s="61"/>
      <c r="G135" s="61"/>
      <c r="H135" s="61"/>
    </row>
    <row r="136" spans="2:9" ht="21" x14ac:dyDescent="0.35">
      <c r="B136" s="69" t="s">
        <v>74</v>
      </c>
      <c r="C136" s="69"/>
      <c r="D136" s="69"/>
      <c r="E136" s="69"/>
      <c r="F136" s="69"/>
      <c r="G136" s="69"/>
    </row>
    <row r="137" spans="2:9" x14ac:dyDescent="0.25">
      <c r="B137" s="60" t="s">
        <v>75</v>
      </c>
      <c r="C137" s="60"/>
      <c r="D137" s="60"/>
      <c r="E137" s="60"/>
      <c r="F137" s="60"/>
      <c r="G137" s="60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1"/>
      <c r="C140" s="61"/>
      <c r="D140" s="61"/>
      <c r="E140" s="61"/>
      <c r="F140" s="61"/>
      <c r="G140" s="61"/>
      <c r="H140" s="61"/>
      <c r="I140" s="7"/>
    </row>
    <row r="141" spans="2:9" x14ac:dyDescent="0.25">
      <c r="B141" s="61"/>
      <c r="C141" s="61"/>
      <c r="D141" s="61"/>
      <c r="E141" s="61"/>
      <c r="F141" s="61"/>
      <c r="G141" s="61"/>
      <c r="H141" s="61"/>
    </row>
    <row r="142" spans="2:9" ht="21" x14ac:dyDescent="0.35">
      <c r="B142" s="70" t="s">
        <v>78</v>
      </c>
      <c r="C142" s="71"/>
      <c r="D142" s="71"/>
      <c r="E142" s="71"/>
      <c r="F142" s="71"/>
      <c r="G142" s="72"/>
    </row>
    <row r="143" spans="2:9" x14ac:dyDescent="0.25">
      <c r="B143" s="66" t="s">
        <v>79</v>
      </c>
      <c r="C143" s="67"/>
      <c r="D143" s="67"/>
      <c r="E143" s="67"/>
      <c r="F143" s="67"/>
      <c r="G143" s="68"/>
    </row>
    <row r="144" spans="2:9" x14ac:dyDescent="0.25">
      <c r="B144" s="61"/>
      <c r="C144" s="61"/>
      <c r="D144" s="61"/>
      <c r="E144" s="61"/>
      <c r="F144" s="61"/>
      <c r="G144" s="61"/>
      <c r="H144" s="61"/>
    </row>
    <row r="145" spans="2:8" x14ac:dyDescent="0.25">
      <c r="B145" s="65" t="s">
        <v>80</v>
      </c>
      <c r="C145" s="65"/>
      <c r="D145" s="65"/>
      <c r="E145" s="65"/>
      <c r="F145" s="65"/>
      <c r="G145" s="65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1"/>
      <c r="C148" s="61"/>
      <c r="D148" s="61"/>
      <c r="E148" s="61"/>
      <c r="F148" s="61"/>
      <c r="G148" s="61"/>
      <c r="H148" s="61"/>
    </row>
    <row r="149" spans="2:8" x14ac:dyDescent="0.25">
      <c r="B149" s="65" t="s">
        <v>83</v>
      </c>
      <c r="C149" s="65"/>
      <c r="D149" s="65"/>
      <c r="E149" s="65"/>
      <c r="F149" s="65"/>
      <c r="G149" s="65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1"/>
      <c r="C152" s="61"/>
      <c r="D152" s="61"/>
      <c r="E152" s="61"/>
      <c r="F152" s="61"/>
      <c r="G152" s="61"/>
      <c r="H152" s="61"/>
    </row>
    <row r="153" spans="2:8" x14ac:dyDescent="0.25">
      <c r="B153" s="65" t="s">
        <v>86</v>
      </c>
      <c r="C153" s="65"/>
      <c r="D153" s="65"/>
      <c r="E153" s="65"/>
      <c r="F153" s="65"/>
      <c r="G153" s="65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1"/>
      <c r="C156" s="61"/>
      <c r="D156" s="61"/>
      <c r="E156" s="61"/>
      <c r="F156" s="61"/>
      <c r="G156" s="61"/>
      <c r="H156" s="61"/>
    </row>
    <row r="157" spans="2:8" x14ac:dyDescent="0.25">
      <c r="B157" s="62" t="s">
        <v>89</v>
      </c>
      <c r="C157" s="63"/>
      <c r="D157" s="63"/>
      <c r="E157" s="63"/>
      <c r="F157" s="63"/>
      <c r="G157" s="64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1"/>
      <c r="C160" s="61"/>
      <c r="D160" s="61"/>
      <c r="E160" s="61"/>
      <c r="F160" s="61"/>
      <c r="G160" s="61"/>
      <c r="H160" s="61"/>
    </row>
    <row r="161" spans="2:8" x14ac:dyDescent="0.25">
      <c r="B161" s="60" t="s">
        <v>92</v>
      </c>
      <c r="C161" s="60"/>
      <c r="D161" s="60"/>
      <c r="E161" s="60"/>
      <c r="F161" s="60"/>
      <c r="G161" s="60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1"/>
      <c r="C164" s="61"/>
      <c r="D164" s="61"/>
      <c r="E164" s="61"/>
      <c r="F164" s="61"/>
      <c r="G164" s="61"/>
    </row>
    <row r="165" spans="2:8" x14ac:dyDescent="0.25">
      <c r="B165" s="66" t="s">
        <v>93</v>
      </c>
      <c r="C165" s="67"/>
      <c r="D165" s="67"/>
      <c r="E165" s="67"/>
      <c r="F165" s="67"/>
      <c r="G165" s="68"/>
    </row>
    <row r="166" spans="2:8" x14ac:dyDescent="0.25">
      <c r="B166" s="62" t="s">
        <v>94</v>
      </c>
      <c r="C166" s="63"/>
      <c r="D166" s="63"/>
      <c r="E166" s="63"/>
      <c r="F166" s="63"/>
      <c r="G166" s="64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1"/>
      <c r="C169" s="61"/>
      <c r="D169" s="61"/>
      <c r="E169" s="61"/>
      <c r="F169" s="61"/>
      <c r="G169" s="61"/>
    </row>
    <row r="170" spans="2:8" x14ac:dyDescent="0.25">
      <c r="B170" s="62" t="s">
        <v>97</v>
      </c>
      <c r="C170" s="63"/>
      <c r="D170" s="63"/>
      <c r="E170" s="63"/>
      <c r="F170" s="63"/>
      <c r="G170" s="64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1"/>
      <c r="C173" s="61"/>
      <c r="D173" s="61"/>
      <c r="E173" s="61"/>
      <c r="F173" s="61"/>
      <c r="G173" s="61"/>
      <c r="H173" s="61"/>
    </row>
    <row r="174" spans="2:8" x14ac:dyDescent="0.25">
      <c r="B174" s="62" t="s">
        <v>99</v>
      </c>
      <c r="C174" s="63"/>
      <c r="D174" s="63"/>
      <c r="E174" s="63"/>
      <c r="F174" s="63"/>
      <c r="G174" s="64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1"/>
      <c r="C177" s="61"/>
      <c r="D177" s="61"/>
      <c r="E177" s="61"/>
      <c r="F177" s="61"/>
      <c r="G177" s="61"/>
      <c r="H177" s="61"/>
    </row>
    <row r="178" spans="2:8" x14ac:dyDescent="0.25">
      <c r="B178" s="62" t="s">
        <v>100</v>
      </c>
      <c r="C178" s="63"/>
      <c r="D178" s="63"/>
      <c r="E178" s="63"/>
      <c r="F178" s="63"/>
      <c r="G178" s="64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1"/>
      <c r="C181" s="61"/>
      <c r="D181" s="61"/>
      <c r="E181" s="61"/>
      <c r="F181" s="61"/>
      <c r="G181" s="61"/>
      <c r="H181" s="61"/>
    </row>
    <row r="182" spans="2:8" x14ac:dyDescent="0.25">
      <c r="B182" s="60" t="s">
        <v>101</v>
      </c>
      <c r="C182" s="60"/>
      <c r="D182" s="60"/>
      <c r="E182" s="60"/>
      <c r="F182" s="60"/>
      <c r="G182" s="60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1"/>
      <c r="C185" s="61"/>
      <c r="D185" s="61"/>
      <c r="E185" s="61"/>
      <c r="F185" s="61"/>
      <c r="G185" s="61"/>
      <c r="H185" s="61"/>
    </row>
    <row r="186" spans="2:8" x14ac:dyDescent="0.25">
      <c r="B186" s="60" t="s">
        <v>104</v>
      </c>
      <c r="C186" s="60"/>
      <c r="D186" s="60"/>
      <c r="E186" s="60"/>
      <c r="F186" s="60"/>
      <c r="G186" s="60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1"/>
      <c r="C189" s="61"/>
      <c r="D189" s="61"/>
      <c r="E189" s="61"/>
      <c r="F189" s="61"/>
      <c r="G189" s="61"/>
      <c r="H189" s="61"/>
    </row>
    <row r="190" spans="2:8" x14ac:dyDescent="0.25">
      <c r="B190" s="60" t="s">
        <v>107</v>
      </c>
      <c r="C190" s="60"/>
      <c r="D190" s="60"/>
      <c r="E190" s="60"/>
      <c r="F190" s="60"/>
      <c r="G190" s="60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FD666-7CB6-440E-832F-0ABE6704DAFA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1" t="s">
        <v>1</v>
      </c>
      <c r="D2" s="82"/>
      <c r="E2" s="82"/>
      <c r="F2" s="82"/>
      <c r="G2" s="8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0" t="s">
        <v>7</v>
      </c>
      <c r="C4" s="71"/>
      <c r="D4" s="71"/>
      <c r="E4" s="71"/>
      <c r="F4" s="71"/>
      <c r="G4" s="72"/>
    </row>
    <row r="5" spans="1:7" x14ac:dyDescent="0.25">
      <c r="B5" s="66" t="s">
        <v>8</v>
      </c>
      <c r="C5" s="67"/>
      <c r="D5" s="67"/>
      <c r="E5" s="67"/>
      <c r="F5" s="67"/>
      <c r="G5" s="68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1"/>
      <c r="C9" s="61"/>
      <c r="D9" s="61"/>
      <c r="E9" s="61"/>
      <c r="F9" s="61"/>
      <c r="G9" s="61"/>
    </row>
    <row r="10" spans="1:7" x14ac:dyDescent="0.25">
      <c r="B10" s="66" t="s">
        <v>12</v>
      </c>
      <c r="C10" s="67"/>
      <c r="D10" s="67"/>
      <c r="E10" s="67"/>
      <c r="F10" s="67"/>
      <c r="G10" s="68"/>
    </row>
    <row r="11" spans="1:7" x14ac:dyDescent="0.25">
      <c r="B11" s="62" t="s">
        <v>13</v>
      </c>
      <c r="C11" s="63"/>
      <c r="D11" s="63"/>
      <c r="E11" s="63"/>
      <c r="F11" s="63"/>
      <c r="G11" s="64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1"/>
      <c r="C17" s="61"/>
      <c r="D17" s="61"/>
      <c r="E17" s="61"/>
      <c r="F17" s="61"/>
      <c r="G17" s="61"/>
    </row>
    <row r="18" spans="2:8" x14ac:dyDescent="0.25">
      <c r="B18" s="62" t="s">
        <v>19</v>
      </c>
      <c r="C18" s="63"/>
      <c r="D18" s="63"/>
      <c r="E18" s="63"/>
      <c r="F18" s="63"/>
      <c r="G18" s="64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84"/>
      <c r="C20" s="84"/>
      <c r="D20" s="84"/>
      <c r="E20" s="84"/>
      <c r="F20" s="84"/>
      <c r="G20" s="84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1"/>
      <c r="C28" s="61"/>
      <c r="D28" s="61"/>
      <c r="E28" s="61"/>
      <c r="F28" s="61"/>
      <c r="G28" s="61"/>
      <c r="H28" s="61"/>
    </row>
    <row r="29" spans="2:8" x14ac:dyDescent="0.25">
      <c r="B29" s="66" t="s">
        <v>26</v>
      </c>
      <c r="C29" s="67"/>
      <c r="D29" s="67"/>
      <c r="E29" s="67"/>
      <c r="F29" s="67"/>
      <c r="G29" s="68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1"/>
      <c r="C31" s="61"/>
      <c r="D31" s="61"/>
      <c r="E31" s="61"/>
      <c r="F31" s="61"/>
      <c r="G31" s="61"/>
      <c r="H31" s="61"/>
    </row>
    <row r="32" spans="2:8" x14ac:dyDescent="0.25">
      <c r="B32" s="66" t="s">
        <v>28</v>
      </c>
      <c r="C32" s="67"/>
      <c r="D32" s="67"/>
      <c r="E32" s="67"/>
      <c r="F32" s="67"/>
      <c r="G32" s="68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0" t="s">
        <v>33</v>
      </c>
      <c r="C38" s="71"/>
      <c r="D38" s="71"/>
      <c r="E38" s="71"/>
      <c r="F38" s="71"/>
      <c r="G38" s="72"/>
    </row>
    <row r="39" spans="2:9" x14ac:dyDescent="0.25">
      <c r="B39" s="66" t="s">
        <v>34</v>
      </c>
      <c r="C39" s="67"/>
      <c r="D39" s="67"/>
      <c r="E39" s="67"/>
      <c r="F39" s="67"/>
      <c r="G39" s="68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1"/>
      <c r="C42" s="61"/>
      <c r="D42" s="61"/>
      <c r="E42" s="61"/>
      <c r="F42" s="61"/>
      <c r="G42" s="61"/>
      <c r="H42" s="61"/>
      <c r="I42" s="7"/>
    </row>
    <row r="43" spans="2:9" x14ac:dyDescent="0.25">
      <c r="B43" s="60" t="s">
        <v>37</v>
      </c>
      <c r="C43" s="60"/>
      <c r="D43" s="60"/>
      <c r="E43" s="60"/>
      <c r="F43" s="60"/>
      <c r="G43" s="60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1"/>
      <c r="C46" s="61"/>
      <c r="D46" s="61"/>
      <c r="E46" s="61"/>
      <c r="F46" s="61"/>
      <c r="G46" s="61"/>
      <c r="H46" s="61"/>
      <c r="I46" s="7"/>
    </row>
    <row r="47" spans="2:9" x14ac:dyDescent="0.25">
      <c r="B47" s="60" t="s">
        <v>40</v>
      </c>
      <c r="C47" s="60"/>
      <c r="D47" s="60"/>
      <c r="E47" s="60"/>
      <c r="F47" s="60"/>
      <c r="G47" s="60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1"/>
      <c r="C50" s="61"/>
      <c r="D50" s="61"/>
      <c r="E50" s="61"/>
      <c r="F50" s="61"/>
      <c r="G50" s="61"/>
      <c r="H50" s="61"/>
    </row>
    <row r="51" spans="2:9" ht="21" x14ac:dyDescent="0.35">
      <c r="B51" s="70" t="s">
        <v>43</v>
      </c>
      <c r="C51" s="71"/>
      <c r="D51" s="71"/>
      <c r="E51" s="71"/>
      <c r="F51" s="71"/>
      <c r="G51" s="72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60" t="s">
        <v>44</v>
      </c>
      <c r="C53" s="60"/>
      <c r="D53" s="60"/>
      <c r="E53" s="60"/>
      <c r="F53" s="60"/>
      <c r="G53" s="60"/>
    </row>
    <row r="54" spans="2:9" x14ac:dyDescent="0.25">
      <c r="B54" s="65" t="s">
        <v>45</v>
      </c>
      <c r="C54" s="65"/>
      <c r="D54" s="65"/>
      <c r="E54" s="65"/>
      <c r="F54" s="65"/>
      <c r="G54" s="65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65" t="s">
        <v>51</v>
      </c>
      <c r="C60" s="65"/>
      <c r="D60" s="65"/>
      <c r="E60" s="65"/>
      <c r="F60" s="65"/>
      <c r="G60" s="65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5" t="s">
        <v>52</v>
      </c>
      <c r="C66" s="65"/>
      <c r="D66" s="65"/>
      <c r="E66" s="65"/>
      <c r="F66" s="65"/>
      <c r="G66" s="65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74" t="s">
        <v>53</v>
      </c>
      <c r="C72" s="75"/>
      <c r="D72" s="75"/>
      <c r="E72" s="75"/>
      <c r="F72" s="75"/>
      <c r="G72" s="76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1"/>
      <c r="C78" s="61"/>
      <c r="D78" s="61"/>
      <c r="E78" s="61"/>
      <c r="F78" s="61"/>
      <c r="G78" s="61"/>
      <c r="H78" s="61"/>
    </row>
    <row r="79" spans="2:8" x14ac:dyDescent="0.25">
      <c r="B79" s="66" t="s">
        <v>55</v>
      </c>
      <c r="C79" s="67"/>
      <c r="D79" s="67"/>
      <c r="E79" s="67"/>
      <c r="F79" s="67"/>
      <c r="G79" s="68"/>
    </row>
    <row r="80" spans="2:8" x14ac:dyDescent="0.25">
      <c r="B80" s="62" t="s">
        <v>45</v>
      </c>
      <c r="C80" s="63"/>
      <c r="D80" s="63"/>
      <c r="E80" s="63"/>
      <c r="F80" s="63"/>
      <c r="G80" s="6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62" t="s">
        <v>51</v>
      </c>
      <c r="C86" s="63"/>
      <c r="D86" s="63"/>
      <c r="E86" s="63"/>
      <c r="F86" s="63"/>
      <c r="G86" s="6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2" t="s">
        <v>52</v>
      </c>
      <c r="C92" s="63"/>
      <c r="D92" s="63"/>
      <c r="E92" s="63"/>
      <c r="F92" s="63"/>
      <c r="G92" s="6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74" t="s">
        <v>56</v>
      </c>
      <c r="C98" s="75"/>
      <c r="D98" s="75"/>
      <c r="E98" s="75"/>
      <c r="F98" s="75"/>
      <c r="G98" s="76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1"/>
      <c r="C104" s="61"/>
      <c r="D104" s="61"/>
      <c r="E104" s="61"/>
      <c r="F104" s="61"/>
      <c r="G104" s="61"/>
      <c r="H104" s="61"/>
    </row>
    <row r="105" spans="2:8" x14ac:dyDescent="0.25">
      <c r="B105" s="60" t="s">
        <v>57</v>
      </c>
      <c r="C105" s="60"/>
      <c r="D105" s="60"/>
      <c r="E105" s="60"/>
      <c r="F105" s="60"/>
      <c r="G105" s="60"/>
    </row>
    <row r="106" spans="2:8" x14ac:dyDescent="0.25">
      <c r="B106" s="65" t="s">
        <v>58</v>
      </c>
      <c r="C106" s="65"/>
      <c r="D106" s="65"/>
      <c r="E106" s="65"/>
      <c r="F106" s="65"/>
      <c r="G106" s="65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65" t="s">
        <v>62</v>
      </c>
      <c r="C110" s="65"/>
      <c r="D110" s="65"/>
      <c r="E110" s="65"/>
      <c r="F110" s="65"/>
      <c r="G110" s="65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1"/>
      <c r="C114" s="61"/>
      <c r="D114" s="61"/>
      <c r="E114" s="61"/>
      <c r="F114" s="61"/>
      <c r="G114" s="61"/>
      <c r="H114" s="61"/>
      <c r="I114" s="61"/>
    </row>
    <row r="115" spans="2:9" x14ac:dyDescent="0.25">
      <c r="B115" s="65" t="s">
        <v>63</v>
      </c>
      <c r="C115" s="65"/>
      <c r="D115" s="65"/>
      <c r="E115" s="65"/>
      <c r="F115" s="65"/>
      <c r="G115" s="65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62" t="s">
        <v>64</v>
      </c>
      <c r="C119" s="63"/>
      <c r="D119" s="63"/>
      <c r="E119" s="63"/>
      <c r="F119" s="63"/>
      <c r="G119" s="64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1"/>
      <c r="C123" s="61"/>
      <c r="D123" s="61"/>
      <c r="E123" s="61"/>
      <c r="F123" s="61"/>
      <c r="G123" s="61"/>
      <c r="H123" s="61"/>
    </row>
    <row r="124" spans="2:9" x14ac:dyDescent="0.25">
      <c r="B124" s="66" t="s">
        <v>65</v>
      </c>
      <c r="C124" s="67"/>
      <c r="D124" s="67"/>
      <c r="E124" s="67"/>
      <c r="F124" s="67"/>
      <c r="G124" s="68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6" t="s">
        <v>67</v>
      </c>
      <c r="C126" s="67"/>
      <c r="D126" s="67"/>
      <c r="E126" s="67"/>
      <c r="F126" s="67"/>
      <c r="G126" s="68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73"/>
      <c r="C128" s="73"/>
      <c r="D128" s="73"/>
      <c r="E128" s="73"/>
      <c r="F128" s="73"/>
      <c r="G128" s="73"/>
      <c r="H128" s="73"/>
    </row>
    <row r="129" spans="2:9" x14ac:dyDescent="0.25">
      <c r="B129" s="60" t="s">
        <v>69</v>
      </c>
      <c r="C129" s="60"/>
      <c r="D129" s="60"/>
      <c r="E129" s="60"/>
      <c r="F129" s="60"/>
      <c r="G129" s="60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1"/>
      <c r="C132" s="61"/>
      <c r="D132" s="61"/>
      <c r="E132" s="61"/>
      <c r="F132" s="61"/>
      <c r="G132" s="61"/>
      <c r="H132" s="61"/>
    </row>
    <row r="133" spans="2:9" x14ac:dyDescent="0.25">
      <c r="B133" s="60" t="s">
        <v>72</v>
      </c>
      <c r="C133" s="60"/>
      <c r="D133" s="60"/>
      <c r="E133" s="60"/>
      <c r="F133" s="60"/>
      <c r="G133" s="60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1"/>
      <c r="C135" s="61"/>
      <c r="D135" s="61"/>
      <c r="E135" s="61"/>
      <c r="F135" s="61"/>
      <c r="G135" s="61"/>
      <c r="H135" s="61"/>
    </row>
    <row r="136" spans="2:9" ht="21" x14ac:dyDescent="0.35">
      <c r="B136" s="69" t="s">
        <v>74</v>
      </c>
      <c r="C136" s="69"/>
      <c r="D136" s="69"/>
      <c r="E136" s="69"/>
      <c r="F136" s="69"/>
      <c r="G136" s="69"/>
    </row>
    <row r="137" spans="2:9" x14ac:dyDescent="0.25">
      <c r="B137" s="60" t="s">
        <v>75</v>
      </c>
      <c r="C137" s="60"/>
      <c r="D137" s="60"/>
      <c r="E137" s="60"/>
      <c r="F137" s="60"/>
      <c r="G137" s="60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1"/>
      <c r="C140" s="61"/>
      <c r="D140" s="61"/>
      <c r="E140" s="61"/>
      <c r="F140" s="61"/>
      <c r="G140" s="61"/>
      <c r="H140" s="61"/>
      <c r="I140" s="7"/>
    </row>
    <row r="141" spans="2:9" x14ac:dyDescent="0.25">
      <c r="B141" s="61"/>
      <c r="C141" s="61"/>
      <c r="D141" s="61"/>
      <c r="E141" s="61"/>
      <c r="F141" s="61"/>
      <c r="G141" s="61"/>
      <c r="H141" s="61"/>
    </row>
    <row r="142" spans="2:9" ht="21" x14ac:dyDescent="0.35">
      <c r="B142" s="70" t="s">
        <v>78</v>
      </c>
      <c r="C142" s="71"/>
      <c r="D142" s="71"/>
      <c r="E142" s="71"/>
      <c r="F142" s="71"/>
      <c r="G142" s="72"/>
    </row>
    <row r="143" spans="2:9" x14ac:dyDescent="0.25">
      <c r="B143" s="66" t="s">
        <v>79</v>
      </c>
      <c r="C143" s="67"/>
      <c r="D143" s="67"/>
      <c r="E143" s="67"/>
      <c r="F143" s="67"/>
      <c r="G143" s="68"/>
    </row>
    <row r="144" spans="2:9" x14ac:dyDescent="0.25">
      <c r="B144" s="61"/>
      <c r="C144" s="61"/>
      <c r="D144" s="61"/>
      <c r="E144" s="61"/>
      <c r="F144" s="61"/>
      <c r="G144" s="61"/>
      <c r="H144" s="61"/>
    </row>
    <row r="145" spans="2:8" x14ac:dyDescent="0.25">
      <c r="B145" s="65" t="s">
        <v>80</v>
      </c>
      <c r="C145" s="65"/>
      <c r="D145" s="65"/>
      <c r="E145" s="65"/>
      <c r="F145" s="65"/>
      <c r="G145" s="65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1"/>
      <c r="C148" s="61"/>
      <c r="D148" s="61"/>
      <c r="E148" s="61"/>
      <c r="F148" s="61"/>
      <c r="G148" s="61"/>
      <c r="H148" s="61"/>
    </row>
    <row r="149" spans="2:8" x14ac:dyDescent="0.25">
      <c r="B149" s="65" t="s">
        <v>83</v>
      </c>
      <c r="C149" s="65"/>
      <c r="D149" s="65"/>
      <c r="E149" s="65"/>
      <c r="F149" s="65"/>
      <c r="G149" s="65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1"/>
      <c r="C152" s="61"/>
      <c r="D152" s="61"/>
      <c r="E152" s="61"/>
      <c r="F152" s="61"/>
      <c r="G152" s="61"/>
      <c r="H152" s="61"/>
    </row>
    <row r="153" spans="2:8" x14ac:dyDescent="0.25">
      <c r="B153" s="65" t="s">
        <v>86</v>
      </c>
      <c r="C153" s="65"/>
      <c r="D153" s="65"/>
      <c r="E153" s="65"/>
      <c r="F153" s="65"/>
      <c r="G153" s="65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1"/>
      <c r="C156" s="61"/>
      <c r="D156" s="61"/>
      <c r="E156" s="61"/>
      <c r="F156" s="61"/>
      <c r="G156" s="61"/>
      <c r="H156" s="61"/>
    </row>
    <row r="157" spans="2:8" x14ac:dyDescent="0.25">
      <c r="B157" s="62" t="s">
        <v>89</v>
      </c>
      <c r="C157" s="63"/>
      <c r="D157" s="63"/>
      <c r="E157" s="63"/>
      <c r="F157" s="63"/>
      <c r="G157" s="64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1"/>
      <c r="C160" s="61"/>
      <c r="D160" s="61"/>
      <c r="E160" s="61"/>
      <c r="F160" s="61"/>
      <c r="G160" s="61"/>
      <c r="H160" s="61"/>
    </row>
    <row r="161" spans="2:8" x14ac:dyDescent="0.25">
      <c r="B161" s="60" t="s">
        <v>92</v>
      </c>
      <c r="C161" s="60"/>
      <c r="D161" s="60"/>
      <c r="E161" s="60"/>
      <c r="F161" s="60"/>
      <c r="G161" s="60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1"/>
      <c r="C164" s="61"/>
      <c r="D164" s="61"/>
      <c r="E164" s="61"/>
      <c r="F164" s="61"/>
      <c r="G164" s="61"/>
    </row>
    <row r="165" spans="2:8" x14ac:dyDescent="0.25">
      <c r="B165" s="66" t="s">
        <v>93</v>
      </c>
      <c r="C165" s="67"/>
      <c r="D165" s="67"/>
      <c r="E165" s="67"/>
      <c r="F165" s="67"/>
      <c r="G165" s="68"/>
    </row>
    <row r="166" spans="2:8" x14ac:dyDescent="0.25">
      <c r="B166" s="62" t="s">
        <v>94</v>
      </c>
      <c r="C166" s="63"/>
      <c r="D166" s="63"/>
      <c r="E166" s="63"/>
      <c r="F166" s="63"/>
      <c r="G166" s="64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1"/>
      <c r="C169" s="61"/>
      <c r="D169" s="61"/>
      <c r="E169" s="61"/>
      <c r="F169" s="61"/>
      <c r="G169" s="61"/>
    </row>
    <row r="170" spans="2:8" x14ac:dyDescent="0.25">
      <c r="B170" s="62" t="s">
        <v>97</v>
      </c>
      <c r="C170" s="63"/>
      <c r="D170" s="63"/>
      <c r="E170" s="63"/>
      <c r="F170" s="63"/>
      <c r="G170" s="64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1"/>
      <c r="C173" s="61"/>
      <c r="D173" s="61"/>
      <c r="E173" s="61"/>
      <c r="F173" s="61"/>
      <c r="G173" s="61"/>
      <c r="H173" s="61"/>
    </row>
    <row r="174" spans="2:8" x14ac:dyDescent="0.25">
      <c r="B174" s="62" t="s">
        <v>99</v>
      </c>
      <c r="C174" s="63"/>
      <c r="D174" s="63"/>
      <c r="E174" s="63"/>
      <c r="F174" s="63"/>
      <c r="G174" s="64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1"/>
      <c r="C177" s="61"/>
      <c r="D177" s="61"/>
      <c r="E177" s="61"/>
      <c r="F177" s="61"/>
      <c r="G177" s="61"/>
      <c r="H177" s="61"/>
    </row>
    <row r="178" spans="2:8" x14ac:dyDescent="0.25">
      <c r="B178" s="62" t="s">
        <v>100</v>
      </c>
      <c r="C178" s="63"/>
      <c r="D178" s="63"/>
      <c r="E178" s="63"/>
      <c r="F178" s="63"/>
      <c r="G178" s="64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1"/>
      <c r="C181" s="61"/>
      <c r="D181" s="61"/>
      <c r="E181" s="61"/>
      <c r="F181" s="61"/>
      <c r="G181" s="61"/>
      <c r="H181" s="61"/>
    </row>
    <row r="182" spans="2:8" x14ac:dyDescent="0.25">
      <c r="B182" s="60" t="s">
        <v>101</v>
      </c>
      <c r="C182" s="60"/>
      <c r="D182" s="60"/>
      <c r="E182" s="60"/>
      <c r="F182" s="60"/>
      <c r="G182" s="60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1"/>
      <c r="C185" s="61"/>
      <c r="D185" s="61"/>
      <c r="E185" s="61"/>
      <c r="F185" s="61"/>
      <c r="G185" s="61"/>
      <c r="H185" s="61"/>
    </row>
    <row r="186" spans="2:8" x14ac:dyDescent="0.25">
      <c r="B186" s="60" t="s">
        <v>104</v>
      </c>
      <c r="C186" s="60"/>
      <c r="D186" s="60"/>
      <c r="E186" s="60"/>
      <c r="F186" s="60"/>
      <c r="G186" s="60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1"/>
      <c r="C189" s="61"/>
      <c r="D189" s="61"/>
      <c r="E189" s="61"/>
      <c r="F189" s="61"/>
      <c r="G189" s="61"/>
      <c r="H189" s="61"/>
    </row>
    <row r="190" spans="2:8" x14ac:dyDescent="0.25">
      <c r="B190" s="60" t="s">
        <v>107</v>
      </c>
      <c r="C190" s="60"/>
      <c r="D190" s="60"/>
      <c r="E190" s="60"/>
      <c r="F190" s="60"/>
      <c r="G190" s="60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5BC16-D815-428F-ABEE-5951D984C74A}">
  <dimension ref="A1:BD196"/>
  <sheetViews>
    <sheetView zoomScaleNormal="100" workbookViewId="0">
      <selection activeCell="I15" sqref="I15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1" t="s">
        <v>1</v>
      </c>
      <c r="D2" s="82"/>
      <c r="E2" s="82"/>
      <c r="F2" s="82"/>
      <c r="G2" s="8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0" t="s">
        <v>7</v>
      </c>
      <c r="C4" s="71"/>
      <c r="D4" s="71"/>
      <c r="E4" s="71"/>
      <c r="F4" s="71"/>
      <c r="G4" s="72"/>
    </row>
    <row r="5" spans="1:7" x14ac:dyDescent="0.25">
      <c r="B5" s="66" t="s">
        <v>8</v>
      </c>
      <c r="C5" s="67"/>
      <c r="D5" s="67"/>
      <c r="E5" s="67"/>
      <c r="F5" s="67"/>
      <c r="G5" s="68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1"/>
      <c r="C9" s="61"/>
      <c r="D9" s="61"/>
      <c r="E9" s="61"/>
      <c r="F9" s="61"/>
      <c r="G9" s="61"/>
    </row>
    <row r="10" spans="1:7" x14ac:dyDescent="0.25">
      <c r="B10" s="66" t="s">
        <v>12</v>
      </c>
      <c r="C10" s="67"/>
      <c r="D10" s="67"/>
      <c r="E10" s="67"/>
      <c r="F10" s="67"/>
      <c r="G10" s="68"/>
    </row>
    <row r="11" spans="1:7" x14ac:dyDescent="0.25">
      <c r="B11" s="62" t="s">
        <v>13</v>
      </c>
      <c r="C11" s="63"/>
      <c r="D11" s="63"/>
      <c r="E11" s="63"/>
      <c r="F11" s="63"/>
      <c r="G11" s="64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1"/>
      <c r="C17" s="61"/>
      <c r="D17" s="61"/>
      <c r="E17" s="61"/>
      <c r="F17" s="61"/>
      <c r="G17" s="61"/>
    </row>
    <row r="18" spans="2:8" x14ac:dyDescent="0.25">
      <c r="B18" s="62" t="s">
        <v>19</v>
      </c>
      <c r="C18" s="63"/>
      <c r="D18" s="63"/>
      <c r="E18" s="63"/>
      <c r="F18" s="63"/>
      <c r="G18" s="64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84"/>
      <c r="C20" s="84"/>
      <c r="D20" s="84"/>
      <c r="E20" s="84"/>
      <c r="F20" s="84"/>
      <c r="G20" s="84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1"/>
      <c r="C28" s="61"/>
      <c r="D28" s="61"/>
      <c r="E28" s="61"/>
      <c r="F28" s="61"/>
      <c r="G28" s="61"/>
      <c r="H28" s="61"/>
    </row>
    <row r="29" spans="2:8" x14ac:dyDescent="0.25">
      <c r="B29" s="66" t="s">
        <v>26</v>
      </c>
      <c r="C29" s="67"/>
      <c r="D29" s="67"/>
      <c r="E29" s="67"/>
      <c r="F29" s="67"/>
      <c r="G29" s="68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1"/>
      <c r="C31" s="61"/>
      <c r="D31" s="61"/>
      <c r="E31" s="61"/>
      <c r="F31" s="61"/>
      <c r="G31" s="61"/>
      <c r="H31" s="61"/>
    </row>
    <row r="32" spans="2:8" x14ac:dyDescent="0.25">
      <c r="B32" s="66" t="s">
        <v>28</v>
      </c>
      <c r="C32" s="67"/>
      <c r="D32" s="67"/>
      <c r="E32" s="67"/>
      <c r="F32" s="67"/>
      <c r="G32" s="68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0" t="s">
        <v>33</v>
      </c>
      <c r="C38" s="71"/>
      <c r="D38" s="71"/>
      <c r="E38" s="71"/>
      <c r="F38" s="71"/>
      <c r="G38" s="72"/>
    </row>
    <row r="39" spans="2:9" x14ac:dyDescent="0.25">
      <c r="B39" s="66" t="s">
        <v>34</v>
      </c>
      <c r="C39" s="67"/>
      <c r="D39" s="67"/>
      <c r="E39" s="67"/>
      <c r="F39" s="67"/>
      <c r="G39" s="68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1"/>
      <c r="C42" s="61"/>
      <c r="D42" s="61"/>
      <c r="E42" s="61"/>
      <c r="F42" s="61"/>
      <c r="G42" s="61"/>
      <c r="H42" s="61"/>
      <c r="I42" s="7"/>
    </row>
    <row r="43" spans="2:9" x14ac:dyDescent="0.25">
      <c r="B43" s="60" t="s">
        <v>37</v>
      </c>
      <c r="C43" s="60"/>
      <c r="D43" s="60"/>
      <c r="E43" s="60"/>
      <c r="F43" s="60"/>
      <c r="G43" s="60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1"/>
      <c r="C46" s="61"/>
      <c r="D46" s="61"/>
      <c r="E46" s="61"/>
      <c r="F46" s="61"/>
      <c r="G46" s="61"/>
      <c r="H46" s="61"/>
      <c r="I46" s="7"/>
    </row>
    <row r="47" spans="2:9" x14ac:dyDescent="0.25">
      <c r="B47" s="60" t="s">
        <v>40</v>
      </c>
      <c r="C47" s="60"/>
      <c r="D47" s="60"/>
      <c r="E47" s="60"/>
      <c r="F47" s="60"/>
      <c r="G47" s="60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1"/>
      <c r="C50" s="61"/>
      <c r="D50" s="61"/>
      <c r="E50" s="61"/>
      <c r="F50" s="61"/>
      <c r="G50" s="61"/>
      <c r="H50" s="61"/>
    </row>
    <row r="51" spans="2:9" ht="21" x14ac:dyDescent="0.35">
      <c r="B51" s="70" t="s">
        <v>43</v>
      </c>
      <c r="C51" s="71"/>
      <c r="D51" s="71"/>
      <c r="E51" s="71"/>
      <c r="F51" s="71"/>
      <c r="G51" s="72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60" t="s">
        <v>44</v>
      </c>
      <c r="C53" s="60"/>
      <c r="D53" s="60"/>
      <c r="E53" s="60"/>
      <c r="F53" s="60"/>
      <c r="G53" s="60"/>
    </row>
    <row r="54" spans="2:9" x14ac:dyDescent="0.25">
      <c r="B54" s="65" t="s">
        <v>45</v>
      </c>
      <c r="C54" s="65"/>
      <c r="D54" s="65"/>
      <c r="E54" s="65"/>
      <c r="F54" s="65"/>
      <c r="G54" s="65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65" t="s">
        <v>51</v>
      </c>
      <c r="C60" s="65"/>
      <c r="D60" s="65"/>
      <c r="E60" s="65"/>
      <c r="F60" s="65"/>
      <c r="G60" s="65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5" t="s">
        <v>52</v>
      </c>
      <c r="C66" s="65"/>
      <c r="D66" s="65"/>
      <c r="E66" s="65"/>
      <c r="F66" s="65"/>
      <c r="G66" s="65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74" t="s">
        <v>53</v>
      </c>
      <c r="C72" s="75"/>
      <c r="D72" s="75"/>
      <c r="E72" s="75"/>
      <c r="F72" s="75"/>
      <c r="G72" s="76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1"/>
      <c r="C78" s="61"/>
      <c r="D78" s="61"/>
      <c r="E78" s="61"/>
      <c r="F78" s="61"/>
      <c r="G78" s="61"/>
      <c r="H78" s="61"/>
    </row>
    <row r="79" spans="2:8" x14ac:dyDescent="0.25">
      <c r="B79" s="66" t="s">
        <v>55</v>
      </c>
      <c r="C79" s="67"/>
      <c r="D79" s="67"/>
      <c r="E79" s="67"/>
      <c r="F79" s="67"/>
      <c r="G79" s="68"/>
    </row>
    <row r="80" spans="2:8" x14ac:dyDescent="0.25">
      <c r="B80" s="62" t="s">
        <v>45</v>
      </c>
      <c r="C80" s="63"/>
      <c r="D80" s="63"/>
      <c r="E80" s="63"/>
      <c r="F80" s="63"/>
      <c r="G80" s="6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62" t="s">
        <v>51</v>
      </c>
      <c r="C86" s="63"/>
      <c r="D86" s="63"/>
      <c r="E86" s="63"/>
      <c r="F86" s="63"/>
      <c r="G86" s="6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2" t="s">
        <v>52</v>
      </c>
      <c r="C92" s="63"/>
      <c r="D92" s="63"/>
      <c r="E92" s="63"/>
      <c r="F92" s="63"/>
      <c r="G92" s="6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74" t="s">
        <v>56</v>
      </c>
      <c r="C98" s="75"/>
      <c r="D98" s="75"/>
      <c r="E98" s="75"/>
      <c r="F98" s="75"/>
      <c r="G98" s="76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1"/>
      <c r="C104" s="61"/>
      <c r="D104" s="61"/>
      <c r="E104" s="61"/>
      <c r="F104" s="61"/>
      <c r="G104" s="61"/>
      <c r="H104" s="61"/>
    </row>
    <row r="105" spans="2:8" x14ac:dyDescent="0.25">
      <c r="B105" s="60" t="s">
        <v>57</v>
      </c>
      <c r="C105" s="60"/>
      <c r="D105" s="60"/>
      <c r="E105" s="60"/>
      <c r="F105" s="60"/>
      <c r="G105" s="60"/>
    </row>
    <row r="106" spans="2:8" x14ac:dyDescent="0.25">
      <c r="B106" s="65" t="s">
        <v>58</v>
      </c>
      <c r="C106" s="65"/>
      <c r="D106" s="65"/>
      <c r="E106" s="65"/>
      <c r="F106" s="65"/>
      <c r="G106" s="65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65" t="s">
        <v>62</v>
      </c>
      <c r="C110" s="65"/>
      <c r="D110" s="65"/>
      <c r="E110" s="65"/>
      <c r="F110" s="65"/>
      <c r="G110" s="65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1"/>
      <c r="C114" s="61"/>
      <c r="D114" s="61"/>
      <c r="E114" s="61"/>
      <c r="F114" s="61"/>
      <c r="G114" s="61"/>
      <c r="H114" s="61"/>
      <c r="I114" s="61"/>
    </row>
    <row r="115" spans="2:9" x14ac:dyDescent="0.25">
      <c r="B115" s="65" t="s">
        <v>63</v>
      </c>
      <c r="C115" s="65"/>
      <c r="D115" s="65"/>
      <c r="E115" s="65"/>
      <c r="F115" s="65"/>
      <c r="G115" s="65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62" t="s">
        <v>64</v>
      </c>
      <c r="C119" s="63"/>
      <c r="D119" s="63"/>
      <c r="E119" s="63"/>
      <c r="F119" s="63"/>
      <c r="G119" s="64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1"/>
      <c r="C123" s="61"/>
      <c r="D123" s="61"/>
      <c r="E123" s="61"/>
      <c r="F123" s="61"/>
      <c r="G123" s="61"/>
      <c r="H123" s="61"/>
    </row>
    <row r="124" spans="2:9" x14ac:dyDescent="0.25">
      <c r="B124" s="66" t="s">
        <v>65</v>
      </c>
      <c r="C124" s="67"/>
      <c r="D124" s="67"/>
      <c r="E124" s="67"/>
      <c r="F124" s="67"/>
      <c r="G124" s="68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6" t="s">
        <v>67</v>
      </c>
      <c r="C126" s="67"/>
      <c r="D126" s="67"/>
      <c r="E126" s="67"/>
      <c r="F126" s="67"/>
      <c r="G126" s="68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73"/>
      <c r="C128" s="73"/>
      <c r="D128" s="73"/>
      <c r="E128" s="73"/>
      <c r="F128" s="73"/>
      <c r="G128" s="73"/>
      <c r="H128" s="73"/>
    </row>
    <row r="129" spans="2:9" x14ac:dyDescent="0.25">
      <c r="B129" s="60" t="s">
        <v>69</v>
      </c>
      <c r="C129" s="60"/>
      <c r="D129" s="60"/>
      <c r="E129" s="60"/>
      <c r="F129" s="60"/>
      <c r="G129" s="60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1"/>
      <c r="C132" s="61"/>
      <c r="D132" s="61"/>
      <c r="E132" s="61"/>
      <c r="F132" s="61"/>
      <c r="G132" s="61"/>
      <c r="H132" s="61"/>
    </row>
    <row r="133" spans="2:9" x14ac:dyDescent="0.25">
      <c r="B133" s="60" t="s">
        <v>72</v>
      </c>
      <c r="C133" s="60"/>
      <c r="D133" s="60"/>
      <c r="E133" s="60"/>
      <c r="F133" s="60"/>
      <c r="G133" s="60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1"/>
      <c r="C135" s="61"/>
      <c r="D135" s="61"/>
      <c r="E135" s="61"/>
      <c r="F135" s="61"/>
      <c r="G135" s="61"/>
      <c r="H135" s="61"/>
    </row>
    <row r="136" spans="2:9" ht="21" x14ac:dyDescent="0.35">
      <c r="B136" s="69" t="s">
        <v>74</v>
      </c>
      <c r="C136" s="69"/>
      <c r="D136" s="69"/>
      <c r="E136" s="69"/>
      <c r="F136" s="69"/>
      <c r="G136" s="69"/>
    </row>
    <row r="137" spans="2:9" x14ac:dyDescent="0.25">
      <c r="B137" s="60" t="s">
        <v>75</v>
      </c>
      <c r="C137" s="60"/>
      <c r="D137" s="60"/>
      <c r="E137" s="60"/>
      <c r="F137" s="60"/>
      <c r="G137" s="60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1"/>
      <c r="C140" s="61"/>
      <c r="D140" s="61"/>
      <c r="E140" s="61"/>
      <c r="F140" s="61"/>
      <c r="G140" s="61"/>
      <c r="H140" s="61"/>
      <c r="I140" s="7"/>
    </row>
    <row r="141" spans="2:9" x14ac:dyDescent="0.25">
      <c r="B141" s="61"/>
      <c r="C141" s="61"/>
      <c r="D141" s="61"/>
      <c r="E141" s="61"/>
      <c r="F141" s="61"/>
      <c r="G141" s="61"/>
      <c r="H141" s="61"/>
    </row>
    <row r="142" spans="2:9" ht="21" x14ac:dyDescent="0.35">
      <c r="B142" s="70" t="s">
        <v>78</v>
      </c>
      <c r="C142" s="71"/>
      <c r="D142" s="71"/>
      <c r="E142" s="71"/>
      <c r="F142" s="71"/>
      <c r="G142" s="72"/>
    </row>
    <row r="143" spans="2:9" x14ac:dyDescent="0.25">
      <c r="B143" s="66" t="s">
        <v>79</v>
      </c>
      <c r="C143" s="67"/>
      <c r="D143" s="67"/>
      <c r="E143" s="67"/>
      <c r="F143" s="67"/>
      <c r="G143" s="68"/>
    </row>
    <row r="144" spans="2:9" x14ac:dyDescent="0.25">
      <c r="B144" s="61"/>
      <c r="C144" s="61"/>
      <c r="D144" s="61"/>
      <c r="E144" s="61"/>
      <c r="F144" s="61"/>
      <c r="G144" s="61"/>
      <c r="H144" s="61"/>
    </row>
    <row r="145" spans="2:8" x14ac:dyDescent="0.25">
      <c r="B145" s="65" t="s">
        <v>80</v>
      </c>
      <c r="C145" s="65"/>
      <c r="D145" s="65"/>
      <c r="E145" s="65"/>
      <c r="F145" s="65"/>
      <c r="G145" s="65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1"/>
      <c r="C148" s="61"/>
      <c r="D148" s="61"/>
      <c r="E148" s="61"/>
      <c r="F148" s="61"/>
      <c r="G148" s="61"/>
      <c r="H148" s="61"/>
    </row>
    <row r="149" spans="2:8" x14ac:dyDescent="0.25">
      <c r="B149" s="65" t="s">
        <v>83</v>
      </c>
      <c r="C149" s="65"/>
      <c r="D149" s="65"/>
      <c r="E149" s="65"/>
      <c r="F149" s="65"/>
      <c r="G149" s="65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1"/>
      <c r="C152" s="61"/>
      <c r="D152" s="61"/>
      <c r="E152" s="61"/>
      <c r="F152" s="61"/>
      <c r="G152" s="61"/>
      <c r="H152" s="61"/>
    </row>
    <row r="153" spans="2:8" x14ac:dyDescent="0.25">
      <c r="B153" s="65" t="s">
        <v>86</v>
      </c>
      <c r="C153" s="65"/>
      <c r="D153" s="65"/>
      <c r="E153" s="65"/>
      <c r="F153" s="65"/>
      <c r="G153" s="65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1"/>
      <c r="C156" s="61"/>
      <c r="D156" s="61"/>
      <c r="E156" s="61"/>
      <c r="F156" s="61"/>
      <c r="G156" s="61"/>
      <c r="H156" s="61"/>
    </row>
    <row r="157" spans="2:8" x14ac:dyDescent="0.25">
      <c r="B157" s="62" t="s">
        <v>89</v>
      </c>
      <c r="C157" s="63"/>
      <c r="D157" s="63"/>
      <c r="E157" s="63"/>
      <c r="F157" s="63"/>
      <c r="G157" s="64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1"/>
      <c r="C160" s="61"/>
      <c r="D160" s="61"/>
      <c r="E160" s="61"/>
      <c r="F160" s="61"/>
      <c r="G160" s="61"/>
      <c r="H160" s="61"/>
    </row>
    <row r="161" spans="2:8" x14ac:dyDescent="0.25">
      <c r="B161" s="60" t="s">
        <v>92</v>
      </c>
      <c r="C161" s="60"/>
      <c r="D161" s="60"/>
      <c r="E161" s="60"/>
      <c r="F161" s="60"/>
      <c r="G161" s="60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1"/>
      <c r="C164" s="61"/>
      <c r="D164" s="61"/>
      <c r="E164" s="61"/>
      <c r="F164" s="61"/>
      <c r="G164" s="61"/>
    </row>
    <row r="165" spans="2:8" x14ac:dyDescent="0.25">
      <c r="B165" s="66" t="s">
        <v>93</v>
      </c>
      <c r="C165" s="67"/>
      <c r="D165" s="67"/>
      <c r="E165" s="67"/>
      <c r="F165" s="67"/>
      <c r="G165" s="68"/>
    </row>
    <row r="166" spans="2:8" x14ac:dyDescent="0.25">
      <c r="B166" s="62" t="s">
        <v>94</v>
      </c>
      <c r="C166" s="63"/>
      <c r="D166" s="63"/>
      <c r="E166" s="63"/>
      <c r="F166" s="63"/>
      <c r="G166" s="64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1"/>
      <c r="C169" s="61"/>
      <c r="D169" s="61"/>
      <c r="E169" s="61"/>
      <c r="F169" s="61"/>
      <c r="G169" s="61"/>
    </row>
    <row r="170" spans="2:8" x14ac:dyDescent="0.25">
      <c r="B170" s="62" t="s">
        <v>97</v>
      </c>
      <c r="C170" s="63"/>
      <c r="D170" s="63"/>
      <c r="E170" s="63"/>
      <c r="F170" s="63"/>
      <c r="G170" s="64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1"/>
      <c r="C173" s="61"/>
      <c r="D173" s="61"/>
      <c r="E173" s="61"/>
      <c r="F173" s="61"/>
      <c r="G173" s="61"/>
      <c r="H173" s="61"/>
    </row>
    <row r="174" spans="2:8" x14ac:dyDescent="0.25">
      <c r="B174" s="62" t="s">
        <v>99</v>
      </c>
      <c r="C174" s="63"/>
      <c r="D174" s="63"/>
      <c r="E174" s="63"/>
      <c r="F174" s="63"/>
      <c r="G174" s="64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1"/>
      <c r="C177" s="61"/>
      <c r="D177" s="61"/>
      <c r="E177" s="61"/>
      <c r="F177" s="61"/>
      <c r="G177" s="61"/>
      <c r="H177" s="61"/>
    </row>
    <row r="178" spans="2:8" x14ac:dyDescent="0.25">
      <c r="B178" s="62" t="s">
        <v>100</v>
      </c>
      <c r="C178" s="63"/>
      <c r="D178" s="63"/>
      <c r="E178" s="63"/>
      <c r="F178" s="63"/>
      <c r="G178" s="64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1"/>
      <c r="C181" s="61"/>
      <c r="D181" s="61"/>
      <c r="E181" s="61"/>
      <c r="F181" s="61"/>
      <c r="G181" s="61"/>
      <c r="H181" s="61"/>
    </row>
    <row r="182" spans="2:8" x14ac:dyDescent="0.25">
      <c r="B182" s="60" t="s">
        <v>101</v>
      </c>
      <c r="C182" s="60"/>
      <c r="D182" s="60"/>
      <c r="E182" s="60"/>
      <c r="F182" s="60"/>
      <c r="G182" s="60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1"/>
      <c r="C185" s="61"/>
      <c r="D185" s="61"/>
      <c r="E185" s="61"/>
      <c r="F185" s="61"/>
      <c r="G185" s="61"/>
      <c r="H185" s="61"/>
    </row>
    <row r="186" spans="2:8" x14ac:dyDescent="0.25">
      <c r="B186" s="60" t="s">
        <v>104</v>
      </c>
      <c r="C186" s="60"/>
      <c r="D186" s="60"/>
      <c r="E186" s="60"/>
      <c r="F186" s="60"/>
      <c r="G186" s="60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1"/>
      <c r="C189" s="61"/>
      <c r="D189" s="61"/>
      <c r="E189" s="61"/>
      <c r="F189" s="61"/>
      <c r="G189" s="61"/>
      <c r="H189" s="61"/>
    </row>
    <row r="190" spans="2:8" x14ac:dyDescent="0.25">
      <c r="B190" s="60" t="s">
        <v>107</v>
      </c>
      <c r="C190" s="60"/>
      <c r="D190" s="60"/>
      <c r="E190" s="60"/>
      <c r="F190" s="60"/>
      <c r="G190" s="60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706A1-F188-4B15-ABB3-E90BBE0D3143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1" t="s">
        <v>1</v>
      </c>
      <c r="D2" s="82"/>
      <c r="E2" s="82"/>
      <c r="F2" s="82"/>
      <c r="G2" s="8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0" t="s">
        <v>7</v>
      </c>
      <c r="C4" s="71"/>
      <c r="D4" s="71"/>
      <c r="E4" s="71"/>
      <c r="F4" s="71"/>
      <c r="G4" s="72"/>
    </row>
    <row r="5" spans="1:7" x14ac:dyDescent="0.25">
      <c r="B5" s="66" t="s">
        <v>8</v>
      </c>
      <c r="C5" s="67"/>
      <c r="D5" s="67"/>
      <c r="E5" s="67"/>
      <c r="F5" s="67"/>
      <c r="G5" s="68"/>
    </row>
    <row r="6" spans="1:7" x14ac:dyDescent="0.25">
      <c r="B6" s="4" t="s">
        <v>9</v>
      </c>
      <c r="C6" s="12">
        <v>55248</v>
      </c>
      <c r="D6" s="12">
        <v>8229</v>
      </c>
      <c r="E6" s="12">
        <v>837</v>
      </c>
      <c r="F6" s="12">
        <v>9913</v>
      </c>
      <c r="G6" s="12">
        <f>+F6+E6+D6+C6</f>
        <v>74227</v>
      </c>
    </row>
    <row r="7" spans="1:7" x14ac:dyDescent="0.25">
      <c r="B7" s="14" t="s">
        <v>10</v>
      </c>
      <c r="C7" s="12">
        <v>543</v>
      </c>
      <c r="D7" s="12">
        <v>255</v>
      </c>
      <c r="E7" s="12">
        <v>24</v>
      </c>
      <c r="F7" s="12">
        <v>151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55791</v>
      </c>
      <c r="D8" s="25">
        <f>+D6+D7</f>
        <v>8484</v>
      </c>
      <c r="E8" s="25">
        <v>861</v>
      </c>
      <c r="F8" s="25">
        <v>10064</v>
      </c>
      <c r="G8" s="25">
        <f>+F8+E8+D8+C8</f>
        <v>75200</v>
      </c>
    </row>
    <row r="9" spans="1:7" x14ac:dyDescent="0.25">
      <c r="B9" s="61"/>
      <c r="C9" s="61"/>
      <c r="D9" s="61"/>
      <c r="E9" s="61"/>
      <c r="F9" s="61"/>
      <c r="G9" s="61"/>
    </row>
    <row r="10" spans="1:7" x14ac:dyDescent="0.25">
      <c r="B10" s="66" t="s">
        <v>12</v>
      </c>
      <c r="C10" s="67"/>
      <c r="D10" s="67"/>
      <c r="E10" s="67"/>
      <c r="F10" s="67"/>
      <c r="G10" s="68"/>
    </row>
    <row r="11" spans="1:7" x14ac:dyDescent="0.25">
      <c r="B11" s="62" t="s">
        <v>13</v>
      </c>
      <c r="C11" s="63"/>
      <c r="D11" s="63"/>
      <c r="E11" s="63"/>
      <c r="F11" s="63"/>
      <c r="G11" s="64"/>
    </row>
    <row r="12" spans="1:7" x14ac:dyDescent="0.25">
      <c r="B12" s="16" t="s">
        <v>14</v>
      </c>
      <c r="C12" s="12">
        <v>801768</v>
      </c>
      <c r="D12" s="12">
        <v>110685</v>
      </c>
      <c r="E12" s="12">
        <v>43397</v>
      </c>
      <c r="F12" s="12">
        <v>0</v>
      </c>
      <c r="G12" s="17">
        <f>SUM(C12:F12)</f>
        <v>955850</v>
      </c>
    </row>
    <row r="13" spans="1:7" x14ac:dyDescent="0.25">
      <c r="B13" s="16" t="s">
        <v>15</v>
      </c>
      <c r="C13" s="12">
        <v>2561620</v>
      </c>
      <c r="D13" s="12">
        <v>574035</v>
      </c>
      <c r="E13" s="12">
        <v>236766</v>
      </c>
      <c r="F13" s="12">
        <v>0</v>
      </c>
      <c r="G13" s="17">
        <f>SUM(C13:F13)</f>
        <v>3372421</v>
      </c>
    </row>
    <row r="14" spans="1:7" x14ac:dyDescent="0.25">
      <c r="B14" s="18" t="s">
        <v>16</v>
      </c>
      <c r="C14" s="19">
        <f>C13+C12</f>
        <v>3363388</v>
      </c>
      <c r="D14" s="19">
        <v>988189</v>
      </c>
      <c r="E14" s="19">
        <v>280163</v>
      </c>
      <c r="F14" s="19">
        <v>151494</v>
      </c>
      <c r="G14" s="19">
        <f>SUM(C14:F14)</f>
        <v>4783234</v>
      </c>
    </row>
    <row r="15" spans="1:7" x14ac:dyDescent="0.25">
      <c r="B15" s="18" t="s">
        <v>17</v>
      </c>
      <c r="C15" s="19">
        <v>486922</v>
      </c>
      <c r="D15" s="19">
        <v>165024</v>
      </c>
      <c r="E15" s="19">
        <v>3293</v>
      </c>
      <c r="F15" s="19">
        <v>361727</v>
      </c>
      <c r="G15" s="19">
        <f>SUM(C15:F15)</f>
        <v>1016966</v>
      </c>
    </row>
    <row r="16" spans="1:7" x14ac:dyDescent="0.25">
      <c r="B16" s="18" t="s">
        <v>18</v>
      </c>
      <c r="C16" s="19">
        <f>C15+C14</f>
        <v>3850310</v>
      </c>
      <c r="D16" s="19">
        <v>1153213</v>
      </c>
      <c r="E16" s="19">
        <v>283456</v>
      </c>
      <c r="F16" s="19">
        <v>513221</v>
      </c>
      <c r="G16" s="19">
        <f>SUM(C16:F16)</f>
        <v>5800200</v>
      </c>
    </row>
    <row r="17" spans="2:8" x14ac:dyDescent="0.25">
      <c r="B17" s="61"/>
      <c r="C17" s="61"/>
      <c r="D17" s="61"/>
      <c r="E17" s="61"/>
      <c r="F17" s="61"/>
      <c r="G17" s="61"/>
    </row>
    <row r="18" spans="2:8" x14ac:dyDescent="0.25">
      <c r="B18" s="62" t="s">
        <v>19</v>
      </c>
      <c r="C18" s="63"/>
      <c r="D18" s="63"/>
      <c r="E18" s="63"/>
      <c r="F18" s="63"/>
      <c r="G18" s="64"/>
    </row>
    <row r="19" spans="2:8" x14ac:dyDescent="0.25">
      <c r="B19" s="14" t="s">
        <v>20</v>
      </c>
      <c r="C19" s="27">
        <v>3503</v>
      </c>
      <c r="D19" s="27">
        <v>4</v>
      </c>
      <c r="E19" s="27"/>
      <c r="F19" s="27"/>
      <c r="G19" s="27">
        <f>SUM(C19:F19)</f>
        <v>3507</v>
      </c>
    </row>
    <row r="20" spans="2:8" x14ac:dyDescent="0.25">
      <c r="B20" s="84"/>
      <c r="C20" s="84"/>
      <c r="D20" s="84"/>
      <c r="E20" s="84"/>
      <c r="F20" s="84"/>
      <c r="G20" s="84"/>
    </row>
    <row r="21" spans="2:8" x14ac:dyDescent="0.25">
      <c r="B21" s="18" t="s">
        <v>21</v>
      </c>
      <c r="C21" s="19">
        <f>+C19+C16</f>
        <v>3853813</v>
      </c>
      <c r="D21" s="19">
        <v>1153217</v>
      </c>
      <c r="E21" s="19">
        <v>283456</v>
      </c>
      <c r="F21" s="19">
        <f>F16</f>
        <v>513221</v>
      </c>
      <c r="G21" s="19">
        <f>SUM(C21:F21)</f>
        <v>5803707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402577</v>
      </c>
      <c r="D24" s="19">
        <v>201324</v>
      </c>
      <c r="E24" s="19">
        <v>141220</v>
      </c>
      <c r="F24" s="19">
        <v>685295</v>
      </c>
      <c r="G24" s="19">
        <f>SUM(C24:F24)</f>
        <v>1430416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4256390</v>
      </c>
      <c r="D27" s="19">
        <f>+D24+D21</f>
        <v>1354541</v>
      </c>
      <c r="E27" s="19">
        <f>+E21+E24</f>
        <v>424676</v>
      </c>
      <c r="F27" s="19">
        <f>+F24+F21</f>
        <v>1198516</v>
      </c>
      <c r="G27" s="19">
        <f>SUM(C27:F27)</f>
        <v>7234123</v>
      </c>
    </row>
    <row r="28" spans="2:8" x14ac:dyDescent="0.25">
      <c r="B28" s="61"/>
      <c r="C28" s="61"/>
      <c r="D28" s="61"/>
      <c r="E28" s="61"/>
      <c r="F28" s="61"/>
      <c r="G28" s="61"/>
      <c r="H28" s="61"/>
    </row>
    <row r="29" spans="2:8" x14ac:dyDescent="0.25">
      <c r="B29" s="66" t="s">
        <v>26</v>
      </c>
      <c r="C29" s="67"/>
      <c r="D29" s="67"/>
      <c r="E29" s="67"/>
      <c r="F29" s="67"/>
      <c r="G29" s="68"/>
    </row>
    <row r="30" spans="2:8" x14ac:dyDescent="0.25">
      <c r="B30" s="14" t="s">
        <v>27</v>
      </c>
      <c r="C30" s="27">
        <v>1283584</v>
      </c>
      <c r="D30" s="27">
        <v>139647</v>
      </c>
      <c r="E30" s="27">
        <v>75031</v>
      </c>
      <c r="F30" s="27">
        <v>206613</v>
      </c>
      <c r="G30" s="27">
        <f>SUM(C30:F30)</f>
        <v>1704875</v>
      </c>
    </row>
    <row r="31" spans="2:8" x14ac:dyDescent="0.25">
      <c r="B31" s="61"/>
      <c r="C31" s="61"/>
      <c r="D31" s="61"/>
      <c r="E31" s="61"/>
      <c r="F31" s="61"/>
      <c r="G31" s="61"/>
      <c r="H31" s="61"/>
    </row>
    <row r="32" spans="2:8" x14ac:dyDescent="0.25">
      <c r="B32" s="66" t="s">
        <v>28</v>
      </c>
      <c r="C32" s="67"/>
      <c r="D32" s="67"/>
      <c r="E32" s="67"/>
      <c r="F32" s="67"/>
      <c r="G32" s="68"/>
    </row>
    <row r="33" spans="2:9" x14ac:dyDescent="0.25">
      <c r="B33" s="14" t="s">
        <v>29</v>
      </c>
      <c r="C33" s="27">
        <v>4018641076851</v>
      </c>
      <c r="D33" s="27">
        <v>650970260394</v>
      </c>
      <c r="E33" s="27">
        <v>263748713981</v>
      </c>
      <c r="F33" s="27">
        <v>478636981978</v>
      </c>
      <c r="G33" s="27">
        <f>SUM(C33:F33)</f>
        <v>5411997033204</v>
      </c>
    </row>
    <row r="34" spans="2:9" x14ac:dyDescent="0.25">
      <c r="B34" s="14" t="s">
        <v>30</v>
      </c>
      <c r="C34" s="27">
        <v>171719735649</v>
      </c>
      <c r="D34" s="27">
        <v>70199761213</v>
      </c>
      <c r="E34" s="27">
        <v>41865629100</v>
      </c>
      <c r="F34" s="27">
        <v>204618755462</v>
      </c>
      <c r="G34" s="27">
        <f>SUM(C34:F34)</f>
        <v>488403881424</v>
      </c>
    </row>
    <row r="35" spans="2:9" x14ac:dyDescent="0.25">
      <c r="B35" s="39" t="s">
        <v>31</v>
      </c>
      <c r="C35" s="19">
        <f>SUM(C33:C34)</f>
        <v>4190360812500</v>
      </c>
      <c r="D35" s="19">
        <f>+D34+D33</f>
        <v>721170021607</v>
      </c>
      <c r="E35" s="19">
        <v>305614343081</v>
      </c>
      <c r="F35" s="19">
        <v>683255737440</v>
      </c>
      <c r="G35" s="40">
        <f>SUM(C35:F35)</f>
        <v>5900400914628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0" t="s">
        <v>33</v>
      </c>
      <c r="C38" s="71"/>
      <c r="D38" s="71"/>
      <c r="E38" s="71"/>
      <c r="F38" s="71"/>
      <c r="G38" s="72"/>
    </row>
    <row r="39" spans="2:9" x14ac:dyDescent="0.25">
      <c r="B39" s="66" t="s">
        <v>34</v>
      </c>
      <c r="C39" s="67"/>
      <c r="D39" s="67"/>
      <c r="E39" s="67"/>
      <c r="F39" s="67"/>
      <c r="G39" s="68"/>
    </row>
    <row r="40" spans="2:9" x14ac:dyDescent="0.25">
      <c r="B40" s="14" t="s">
        <v>35</v>
      </c>
      <c r="C40" s="27">
        <v>803042</v>
      </c>
      <c r="D40" s="27">
        <v>119589</v>
      </c>
      <c r="E40" s="27">
        <v>52160</v>
      </c>
      <c r="F40" s="27">
        <v>72281</v>
      </c>
      <c r="G40" s="27">
        <f>SUM(C40:F40)</f>
        <v>1047072</v>
      </c>
      <c r="H40" s="7"/>
      <c r="I40" s="7"/>
    </row>
    <row r="41" spans="2:9" x14ac:dyDescent="0.25">
      <c r="B41" s="14" t="s">
        <v>36</v>
      </c>
      <c r="C41" s="27">
        <f>4685502022 /1000000</f>
        <v>4685.5020219999997</v>
      </c>
      <c r="D41" s="27">
        <v>1303.699063</v>
      </c>
      <c r="E41" s="27">
        <v>558</v>
      </c>
      <c r="F41" s="27">
        <v>735.06286399999999</v>
      </c>
      <c r="G41" s="11">
        <f>SUM(C41:F41)</f>
        <v>7282.2639490000001</v>
      </c>
      <c r="H41" s="7"/>
      <c r="I41" s="7"/>
    </row>
    <row r="42" spans="2:9" x14ac:dyDescent="0.25">
      <c r="B42" s="61"/>
      <c r="C42" s="61"/>
      <c r="D42" s="61"/>
      <c r="E42" s="61"/>
      <c r="F42" s="61"/>
      <c r="G42" s="61"/>
      <c r="H42" s="61"/>
      <c r="I42" s="7"/>
    </row>
    <row r="43" spans="2:9" x14ac:dyDescent="0.25">
      <c r="B43" s="60" t="s">
        <v>37</v>
      </c>
      <c r="C43" s="60"/>
      <c r="D43" s="60"/>
      <c r="E43" s="60"/>
      <c r="F43" s="60"/>
      <c r="G43" s="60"/>
      <c r="I43" s="7"/>
    </row>
    <row r="44" spans="2:9" x14ac:dyDescent="0.25">
      <c r="B44" s="14" t="s">
        <v>38</v>
      </c>
      <c r="C44" s="27">
        <v>3</v>
      </c>
      <c r="D44" s="27">
        <v>5</v>
      </c>
      <c r="E44" s="27">
        <v>4</v>
      </c>
      <c r="F44" s="27">
        <v>0</v>
      </c>
      <c r="G44" s="27">
        <f>SUM(C44:F44)</f>
        <v>12</v>
      </c>
      <c r="H44" s="7"/>
      <c r="I44" s="7"/>
    </row>
    <row r="45" spans="2:9" x14ac:dyDescent="0.25">
      <c r="B45" s="14" t="s">
        <v>39</v>
      </c>
      <c r="C45" s="27">
        <f>4732363/1000000</f>
        <v>4.7323630000000003</v>
      </c>
      <c r="D45" s="27">
        <v>4.6235999999999999E-2</v>
      </c>
      <c r="E45" s="27">
        <v>0</v>
      </c>
      <c r="F45" s="27">
        <v>0</v>
      </c>
      <c r="G45" s="11">
        <f>SUM(C45:F45)</f>
        <v>4.7785990000000007</v>
      </c>
      <c r="H45" s="7"/>
      <c r="I45" s="7"/>
    </row>
    <row r="46" spans="2:9" x14ac:dyDescent="0.25">
      <c r="B46" s="61"/>
      <c r="C46" s="61"/>
      <c r="D46" s="61"/>
      <c r="E46" s="61"/>
      <c r="F46" s="61"/>
      <c r="G46" s="61"/>
      <c r="H46" s="61"/>
      <c r="I46" s="7"/>
    </row>
    <row r="47" spans="2:9" x14ac:dyDescent="0.25">
      <c r="B47" s="60" t="s">
        <v>40</v>
      </c>
      <c r="C47" s="60"/>
      <c r="D47" s="60"/>
      <c r="E47" s="60"/>
      <c r="F47" s="60"/>
      <c r="G47" s="60"/>
      <c r="I47" s="7"/>
    </row>
    <row r="48" spans="2:9" x14ac:dyDescent="0.25">
      <c r="B48" s="14" t="s">
        <v>41</v>
      </c>
      <c r="C48" s="27">
        <v>150768</v>
      </c>
      <c r="D48" s="27">
        <v>73122</v>
      </c>
      <c r="E48" s="27">
        <v>9828</v>
      </c>
      <c r="F48" s="27">
        <v>52420</v>
      </c>
      <c r="G48" s="27">
        <f>SUM(C48:F48)</f>
        <v>286138</v>
      </c>
      <c r="H48" s="7"/>
      <c r="I48" s="7"/>
    </row>
    <row r="49" spans="2:9" x14ac:dyDescent="0.25">
      <c r="B49" s="14" t="s">
        <v>42</v>
      </c>
      <c r="C49" s="27">
        <f>(74310762347+ 1293318594)/1000000</f>
        <v>75604.080940999993</v>
      </c>
      <c r="D49" s="27">
        <v>28248</v>
      </c>
      <c r="E49" s="27">
        <v>9716</v>
      </c>
      <c r="F49" s="12">
        <v>10714.101349</v>
      </c>
      <c r="G49" s="11">
        <f>SUM(C49:F49)</f>
        <v>124282.18229</v>
      </c>
      <c r="H49" s="7"/>
      <c r="I49" s="7"/>
    </row>
    <row r="50" spans="2:9" x14ac:dyDescent="0.25">
      <c r="B50" s="61"/>
      <c r="C50" s="61"/>
      <c r="D50" s="61"/>
      <c r="E50" s="61"/>
      <c r="F50" s="61"/>
      <c r="G50" s="61"/>
      <c r="H50" s="61"/>
    </row>
    <row r="51" spans="2:9" ht="21" x14ac:dyDescent="0.35">
      <c r="B51" s="70" t="s">
        <v>43</v>
      </c>
      <c r="C51" s="71"/>
      <c r="D51" s="71"/>
      <c r="E51" s="71"/>
      <c r="F51" s="71"/>
      <c r="G51" s="72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60" t="s">
        <v>44</v>
      </c>
      <c r="C53" s="60"/>
      <c r="D53" s="60"/>
      <c r="E53" s="60"/>
      <c r="F53" s="60"/>
      <c r="G53" s="60"/>
    </row>
    <row r="54" spans="2:9" x14ac:dyDescent="0.25">
      <c r="B54" s="65" t="s">
        <v>45</v>
      </c>
      <c r="C54" s="65"/>
      <c r="D54" s="65"/>
      <c r="E54" s="65"/>
      <c r="F54" s="65"/>
      <c r="G54" s="65"/>
    </row>
    <row r="55" spans="2:9" x14ac:dyDescent="0.25">
      <c r="B55" s="14" t="s">
        <v>46</v>
      </c>
      <c r="C55" s="27">
        <v>102729</v>
      </c>
      <c r="D55" s="27">
        <v>4959</v>
      </c>
      <c r="E55" s="27">
        <v>1498</v>
      </c>
      <c r="F55" s="27">
        <v>4044</v>
      </c>
      <c r="G55" s="27">
        <f t="shared" ref="G55:G71" si="0">SUM(C55:F55)</f>
        <v>113230</v>
      </c>
    </row>
    <row r="56" spans="2:9" x14ac:dyDescent="0.25">
      <c r="B56" s="14" t="s">
        <v>47</v>
      </c>
      <c r="C56" s="27">
        <v>63170.066952000001</v>
      </c>
      <c r="D56" s="27">
        <v>5929.3021079999698</v>
      </c>
      <c r="E56" s="27">
        <v>2015</v>
      </c>
      <c r="F56" s="27">
        <v>9416</v>
      </c>
      <c r="G56" s="27">
        <f t="shared" si="0"/>
        <v>80530.369059999968</v>
      </c>
    </row>
    <row r="57" spans="2:9" x14ac:dyDescent="0.25">
      <c r="B57" s="14" t="s">
        <v>48</v>
      </c>
      <c r="C57" s="27">
        <v>12.270303419676999</v>
      </c>
      <c r="D57" s="27">
        <v>36</v>
      </c>
      <c r="E57" s="27">
        <v>19</v>
      </c>
      <c r="F57" s="27">
        <v>29</v>
      </c>
      <c r="G57" s="27">
        <f>AVERAGE(C57:F57)</f>
        <v>24.067575854919248</v>
      </c>
    </row>
    <row r="58" spans="2:9" x14ac:dyDescent="0.25">
      <c r="B58" s="14" t="s">
        <v>49</v>
      </c>
      <c r="C58" s="27">
        <v>815878</v>
      </c>
      <c r="D58" s="27">
        <v>146895</v>
      </c>
      <c r="E58" s="27">
        <v>52361</v>
      </c>
      <c r="F58" s="27">
        <v>79740</v>
      </c>
      <c r="G58" s="27">
        <f t="shared" si="0"/>
        <v>1094874</v>
      </c>
    </row>
    <row r="59" spans="2:9" x14ac:dyDescent="0.25">
      <c r="B59" s="14" t="s">
        <v>50</v>
      </c>
      <c r="C59" s="27">
        <v>1810323.2556799999</v>
      </c>
      <c r="D59" s="27">
        <v>261828.77697400001</v>
      </c>
      <c r="E59" s="27">
        <v>109978.92784800001</v>
      </c>
      <c r="F59" s="27">
        <v>186410</v>
      </c>
      <c r="G59" s="11">
        <f t="shared" si="0"/>
        <v>2368540.9605020001</v>
      </c>
    </row>
    <row r="60" spans="2:9" x14ac:dyDescent="0.25">
      <c r="B60" s="65" t="s">
        <v>51</v>
      </c>
      <c r="C60" s="65"/>
      <c r="D60" s="65"/>
      <c r="E60" s="65"/>
      <c r="F60" s="65"/>
      <c r="G60" s="65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5" t="s">
        <v>52</v>
      </c>
      <c r="C66" s="65"/>
      <c r="D66" s="65"/>
      <c r="E66" s="65"/>
      <c r="F66" s="65"/>
      <c r="G66" s="65"/>
    </row>
    <row r="67" spans="2:8" x14ac:dyDescent="0.25">
      <c r="B67" s="14" t="s">
        <v>46</v>
      </c>
      <c r="C67" s="27">
        <v>6003</v>
      </c>
      <c r="D67" s="27">
        <v>1474</v>
      </c>
      <c r="E67" s="27">
        <v>1308</v>
      </c>
      <c r="F67" s="27">
        <v>11192</v>
      </c>
      <c r="G67" s="27">
        <f t="shared" si="0"/>
        <v>19977</v>
      </c>
    </row>
    <row r="68" spans="2:8" x14ac:dyDescent="0.25">
      <c r="B68" s="14" t="s">
        <v>47</v>
      </c>
      <c r="C68" s="27">
        <v>4591.6138220000003</v>
      </c>
      <c r="D68" s="27">
        <v>1402.2541570000001</v>
      </c>
      <c r="E68" s="27">
        <v>1567</v>
      </c>
      <c r="F68" s="27">
        <v>14514</v>
      </c>
      <c r="G68" s="27">
        <f t="shared" si="0"/>
        <v>22074.867979000002</v>
      </c>
    </row>
    <row r="69" spans="2:8" x14ac:dyDescent="0.25">
      <c r="B69" s="14" t="s">
        <v>48</v>
      </c>
      <c r="C69" s="27">
        <v>37.365650508079298</v>
      </c>
      <c r="D69" s="27">
        <v>53</v>
      </c>
      <c r="E69" s="27">
        <v>47</v>
      </c>
      <c r="F69" s="27">
        <v>38</v>
      </c>
      <c r="G69" s="27">
        <f>AVERAGE(C69:F69)</f>
        <v>43.841412627019821</v>
      </c>
    </row>
    <row r="70" spans="2:8" x14ac:dyDescent="0.25">
      <c r="B70" s="14" t="s">
        <v>49</v>
      </c>
      <c r="C70" s="27">
        <v>137044</v>
      </c>
      <c r="D70" s="27">
        <v>87918</v>
      </c>
      <c r="E70" s="27">
        <v>63881</v>
      </c>
      <c r="F70" s="27">
        <v>273819</v>
      </c>
      <c r="G70" s="27">
        <f t="shared" si="0"/>
        <v>562662</v>
      </c>
    </row>
    <row r="71" spans="2:8" x14ac:dyDescent="0.25">
      <c r="B71" s="14" t="s">
        <v>50</v>
      </c>
      <c r="C71" s="27">
        <v>142195.65635599999</v>
      </c>
      <c r="D71" s="27">
        <v>103042.73346600001</v>
      </c>
      <c r="E71" s="27">
        <v>66637.767997000003</v>
      </c>
      <c r="F71" s="27">
        <v>252473</v>
      </c>
      <c r="G71" s="11">
        <f t="shared" si="0"/>
        <v>564349.15781900007</v>
      </c>
    </row>
    <row r="72" spans="2:8" x14ac:dyDescent="0.25">
      <c r="B72" s="74" t="s">
        <v>53</v>
      </c>
      <c r="C72" s="75"/>
      <c r="D72" s="75"/>
      <c r="E72" s="75"/>
      <c r="F72" s="75"/>
      <c r="G72" s="76"/>
    </row>
    <row r="73" spans="2:8" x14ac:dyDescent="0.25">
      <c r="B73" s="18" t="s">
        <v>54</v>
      </c>
      <c r="C73" s="19">
        <f>+C55+C67</f>
        <v>108732</v>
      </c>
      <c r="D73" s="19">
        <v>6433</v>
      </c>
      <c r="E73" s="19">
        <v>2806</v>
      </c>
      <c r="F73" s="19">
        <v>15236</v>
      </c>
      <c r="G73" s="19">
        <f>SUM(C73:F73)</f>
        <v>133207</v>
      </c>
    </row>
    <row r="74" spans="2:8" x14ac:dyDescent="0.25">
      <c r="B74" s="18" t="s">
        <v>47</v>
      </c>
      <c r="C74" s="19">
        <f>+C56+C68</f>
        <v>67761.680774000008</v>
      </c>
      <c r="D74" s="19">
        <v>7331.5562649999702</v>
      </c>
      <c r="E74" s="19">
        <v>3582</v>
      </c>
      <c r="F74" s="19">
        <v>23930</v>
      </c>
      <c r="G74" s="22">
        <f>SUM(C74:F74)</f>
        <v>102605.23703899997</v>
      </c>
    </row>
    <row r="75" spans="2:8" x14ac:dyDescent="0.25">
      <c r="B75" s="18" t="s">
        <v>48</v>
      </c>
      <c r="C75" s="19">
        <v>13.6557959018504</v>
      </c>
      <c r="D75" s="19">
        <v>29.666666666666668</v>
      </c>
      <c r="E75" s="19">
        <v>47</v>
      </c>
      <c r="F75" s="19">
        <v>33.5</v>
      </c>
      <c r="G75" s="19">
        <f>AVERAGE(C75:F75)</f>
        <v>30.955615642129267</v>
      </c>
    </row>
    <row r="76" spans="2:8" x14ac:dyDescent="0.25">
      <c r="B76" s="18" t="s">
        <v>49</v>
      </c>
      <c r="C76" s="19">
        <f>+C58+C70</f>
        <v>952922</v>
      </c>
      <c r="D76" s="19">
        <v>234813</v>
      </c>
      <c r="E76" s="19">
        <v>116242</v>
      </c>
      <c r="F76" s="19">
        <v>353559</v>
      </c>
      <c r="G76" s="19">
        <f>SUM(C76:F76)</f>
        <v>1657536</v>
      </c>
    </row>
    <row r="77" spans="2:8" x14ac:dyDescent="0.25">
      <c r="B77" s="18" t="s">
        <v>50</v>
      </c>
      <c r="C77" s="19">
        <f>+C59+C71</f>
        <v>1952518.9120359998</v>
      </c>
      <c r="D77" s="19">
        <v>364871.51043999998</v>
      </c>
      <c r="E77" s="19">
        <v>176616.69584500001</v>
      </c>
      <c r="F77" s="19">
        <v>438883</v>
      </c>
      <c r="G77" s="22">
        <f>SUM(C77:F77)</f>
        <v>2932890.1183209997</v>
      </c>
    </row>
    <row r="78" spans="2:8" x14ac:dyDescent="0.25">
      <c r="B78" s="61"/>
      <c r="C78" s="61"/>
      <c r="D78" s="61"/>
      <c r="E78" s="61"/>
      <c r="F78" s="61"/>
      <c r="G78" s="61"/>
      <c r="H78" s="61"/>
    </row>
    <row r="79" spans="2:8" x14ac:dyDescent="0.25">
      <c r="B79" s="66" t="s">
        <v>55</v>
      </c>
      <c r="C79" s="67"/>
      <c r="D79" s="67"/>
      <c r="E79" s="67"/>
      <c r="F79" s="67"/>
      <c r="G79" s="68"/>
    </row>
    <row r="80" spans="2:8" x14ac:dyDescent="0.25">
      <c r="B80" s="62" t="s">
        <v>45</v>
      </c>
      <c r="C80" s="63"/>
      <c r="D80" s="63"/>
      <c r="E80" s="63"/>
      <c r="F80" s="63"/>
      <c r="G80" s="64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1005</v>
      </c>
      <c r="D84" s="24">
        <v>116</v>
      </c>
      <c r="E84" s="24">
        <v>6</v>
      </c>
      <c r="F84" s="24">
        <v>95</v>
      </c>
      <c r="G84" s="24">
        <f>SUM(C84:F84)</f>
        <v>1222</v>
      </c>
    </row>
    <row r="85" spans="2:7" x14ac:dyDescent="0.25">
      <c r="B85" s="14" t="s">
        <v>50</v>
      </c>
      <c r="C85" s="24">
        <v>21565.900089999999</v>
      </c>
      <c r="D85" s="24">
        <v>1453</v>
      </c>
      <c r="E85" s="24">
        <v>77</v>
      </c>
      <c r="F85" s="24">
        <v>1731.454753</v>
      </c>
      <c r="G85" s="11">
        <f>SUM(C85:F85)</f>
        <v>24827.354843000001</v>
      </c>
    </row>
    <row r="86" spans="2:7" x14ac:dyDescent="0.25">
      <c r="B86" s="62" t="s">
        <v>51</v>
      </c>
      <c r="C86" s="63"/>
      <c r="D86" s="63"/>
      <c r="E86" s="63"/>
      <c r="F86" s="63"/>
      <c r="G86" s="6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2" t="s">
        <v>52</v>
      </c>
      <c r="C92" s="63"/>
      <c r="D92" s="63"/>
      <c r="E92" s="63"/>
      <c r="F92" s="63"/>
      <c r="G92" s="6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0">
        <v>0</v>
      </c>
      <c r="E96" s="20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174.92252400000001</v>
      </c>
      <c r="D97" s="20">
        <v>0</v>
      </c>
      <c r="E97" s="20">
        <v>0</v>
      </c>
      <c r="F97" s="24">
        <v>80.185434000000001</v>
      </c>
      <c r="G97" s="11">
        <f>SUM(C97:F97)</f>
        <v>255.107958</v>
      </c>
    </row>
    <row r="98" spans="2:8" x14ac:dyDescent="0.25">
      <c r="B98" s="74" t="s">
        <v>56</v>
      </c>
      <c r="C98" s="75"/>
      <c r="D98" s="75"/>
      <c r="E98" s="75"/>
      <c r="F98" s="75"/>
      <c r="G98" s="76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1015</v>
      </c>
      <c r="D102" s="19">
        <f t="shared" ref="D102:D103" si="1">+D96+D90+D84</f>
        <v>116</v>
      </c>
      <c r="E102" s="19">
        <f>+E84</f>
        <v>6</v>
      </c>
      <c r="F102" s="19">
        <f>+F96+F84</f>
        <v>102</v>
      </c>
      <c r="G102" s="19">
        <f>SUM(C102:F102)</f>
        <v>1239</v>
      </c>
    </row>
    <row r="103" spans="2:8" x14ac:dyDescent="0.25">
      <c r="B103" s="18" t="s">
        <v>50</v>
      </c>
      <c r="C103" s="19">
        <f>+C97+C85</f>
        <v>21740.822614000001</v>
      </c>
      <c r="D103" s="19">
        <f t="shared" si="1"/>
        <v>1453</v>
      </c>
      <c r="E103" s="19">
        <f>+E85</f>
        <v>77</v>
      </c>
      <c r="F103" s="19">
        <f>+F85+F97</f>
        <v>1811.640187</v>
      </c>
      <c r="G103" s="22">
        <f>SUM(C103:F103)</f>
        <v>25082.462801000001</v>
      </c>
    </row>
    <row r="104" spans="2:8" x14ac:dyDescent="0.25">
      <c r="B104" s="61"/>
      <c r="C104" s="61"/>
      <c r="D104" s="61"/>
      <c r="E104" s="61"/>
      <c r="F104" s="61"/>
      <c r="G104" s="61"/>
      <c r="H104" s="61"/>
    </row>
    <row r="105" spans="2:8" x14ac:dyDescent="0.25">
      <c r="B105" s="60" t="s">
        <v>57</v>
      </c>
      <c r="C105" s="60"/>
      <c r="D105" s="60"/>
      <c r="E105" s="60"/>
      <c r="F105" s="60"/>
      <c r="G105" s="60"/>
    </row>
    <row r="106" spans="2:8" x14ac:dyDescent="0.25">
      <c r="B106" s="65" t="s">
        <v>58</v>
      </c>
      <c r="C106" s="65"/>
      <c r="D106" s="65"/>
      <c r="E106" s="65"/>
      <c r="F106" s="65"/>
      <c r="G106" s="65"/>
    </row>
    <row r="107" spans="2:8" x14ac:dyDescent="0.25">
      <c r="B107" s="14" t="s">
        <v>59</v>
      </c>
      <c r="C107" s="13">
        <v>2.8351275739671036</v>
      </c>
      <c r="D107" s="13">
        <v>2.5499999999999998</v>
      </c>
      <c r="E107" s="30">
        <v>2.92</v>
      </c>
      <c r="F107" s="13">
        <v>2.54</v>
      </c>
      <c r="G107" s="13">
        <f>AVERAGE(C107:F107)</f>
        <v>2.7112818934917762</v>
      </c>
    </row>
    <row r="108" spans="2:8" x14ac:dyDescent="0.25">
      <c r="B108" s="14" t="s">
        <v>60</v>
      </c>
      <c r="C108" s="13">
        <v>2.3851836664956867</v>
      </c>
      <c r="D108" s="13">
        <v>2.65</v>
      </c>
      <c r="E108" s="31">
        <v>2.79</v>
      </c>
      <c r="F108" s="13">
        <v>2.66</v>
      </c>
      <c r="G108" s="13">
        <f>AVERAGE(C108:F108)</f>
        <v>2.6212959166239216</v>
      </c>
    </row>
    <row r="109" spans="2:8" x14ac:dyDescent="0.25">
      <c r="B109" s="14" t="s">
        <v>61</v>
      </c>
      <c r="C109" s="13">
        <v>2.1739273376158663</v>
      </c>
      <c r="D109" s="13">
        <v>2.65</v>
      </c>
      <c r="E109" s="30">
        <v>2.3199999999999998</v>
      </c>
      <c r="F109" s="13">
        <v>2.65</v>
      </c>
      <c r="G109" s="13">
        <f>AVERAGE(C109:F109)</f>
        <v>2.4484818344039665</v>
      </c>
    </row>
    <row r="110" spans="2:8" x14ac:dyDescent="0.25">
      <c r="B110" s="65" t="s">
        <v>62</v>
      </c>
      <c r="C110" s="65"/>
      <c r="D110" s="65"/>
      <c r="E110" s="65"/>
      <c r="F110" s="65"/>
      <c r="G110" s="65"/>
    </row>
    <row r="111" spans="2:8" x14ac:dyDescent="0.25">
      <c r="B111" s="14" t="s">
        <v>59</v>
      </c>
      <c r="C111" s="13">
        <v>1.7999999999999994</v>
      </c>
      <c r="D111" s="13">
        <v>1.95</v>
      </c>
      <c r="E111" s="30">
        <v>1</v>
      </c>
      <c r="F111" s="13">
        <v>1.7999999999999994</v>
      </c>
      <c r="G111" s="13">
        <f>AVERAGE(C111:F111)</f>
        <v>1.6374999999999997</v>
      </c>
    </row>
    <row r="112" spans="2:8" x14ac:dyDescent="0.25">
      <c r="B112" s="14" t="s">
        <v>60</v>
      </c>
      <c r="C112" s="13">
        <v>2.0999999999999965</v>
      </c>
      <c r="D112" s="13">
        <v>2.16</v>
      </c>
      <c r="E112" s="30">
        <v>2.1</v>
      </c>
      <c r="F112" s="13">
        <v>2.16</v>
      </c>
      <c r="G112" s="13">
        <f>AVERAGE(C112:F112)</f>
        <v>2.129999999999999</v>
      </c>
    </row>
    <row r="113" spans="2:9" x14ac:dyDescent="0.25">
      <c r="B113" s="14" t="s">
        <v>61</v>
      </c>
      <c r="C113" s="13">
        <v>2.0851129032258044</v>
      </c>
      <c r="D113" s="13">
        <v>2.16</v>
      </c>
      <c r="E113" s="30">
        <v>2.15</v>
      </c>
      <c r="F113" s="13">
        <v>2.16</v>
      </c>
      <c r="G113" s="13">
        <f>AVERAGE(C113:F113)</f>
        <v>2.1387782258064512</v>
      </c>
    </row>
    <row r="114" spans="2:9" x14ac:dyDescent="0.25">
      <c r="B114" s="61"/>
      <c r="C114" s="61"/>
      <c r="D114" s="61"/>
      <c r="E114" s="61"/>
      <c r="F114" s="61"/>
      <c r="G114" s="61"/>
      <c r="H114" s="61"/>
      <c r="I114" s="61"/>
    </row>
    <row r="115" spans="2:9" x14ac:dyDescent="0.25">
      <c r="B115" s="65" t="s">
        <v>63</v>
      </c>
      <c r="C115" s="65"/>
      <c r="D115" s="65"/>
      <c r="E115" s="65"/>
      <c r="F115" s="65"/>
      <c r="G115" s="65"/>
    </row>
    <row r="116" spans="2:9" x14ac:dyDescent="0.25">
      <c r="B116" s="14" t="s">
        <v>59</v>
      </c>
      <c r="C116" s="13">
        <v>1.5130713170223988</v>
      </c>
      <c r="D116" s="13">
        <v>1.79</v>
      </c>
      <c r="E116" s="31">
        <v>2.06</v>
      </c>
      <c r="F116" s="13">
        <v>1.78</v>
      </c>
      <c r="G116" s="13">
        <f>AVERAGE(C116:F116)</f>
        <v>1.7857678292555998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31">
        <v>2.0099999999999998</v>
      </c>
      <c r="F117" s="13">
        <v>1.78</v>
      </c>
      <c r="G117" s="13">
        <f>AVERAGE(C117:F117)</f>
        <v>1.8344142545057518</v>
      </c>
    </row>
    <row r="118" spans="2:9" x14ac:dyDescent="0.25">
      <c r="B118" s="14" t="s">
        <v>61</v>
      </c>
      <c r="C118" s="13">
        <v>1.7294566259286155</v>
      </c>
      <c r="D118" s="13">
        <v>1.74</v>
      </c>
      <c r="E118" s="31">
        <v>2.15</v>
      </c>
      <c r="F118" s="13">
        <v>1.99</v>
      </c>
      <c r="G118" s="13">
        <f>AVERAGE(C118:F118)</f>
        <v>1.9023641564821538</v>
      </c>
    </row>
    <row r="119" spans="2:9" x14ac:dyDescent="0.25">
      <c r="B119" s="62" t="s">
        <v>64</v>
      </c>
      <c r="C119" s="63"/>
      <c r="D119" s="63"/>
      <c r="E119" s="63"/>
      <c r="F119" s="63"/>
      <c r="G119" s="64"/>
    </row>
    <row r="120" spans="2:9" x14ac:dyDescent="0.25">
      <c r="B120" s="14" t="s">
        <v>59</v>
      </c>
      <c r="C120" s="13">
        <v>0</v>
      </c>
      <c r="D120" s="13">
        <v>1.43</v>
      </c>
      <c r="E120" s="31">
        <v>0.99</v>
      </c>
      <c r="F120" s="13">
        <v>1.2</v>
      </c>
      <c r="G120" s="13">
        <f>AVERAGE(C120:F120)</f>
        <v>0.90500000000000003</v>
      </c>
    </row>
    <row r="121" spans="2:9" x14ac:dyDescent="0.25">
      <c r="B121" s="14" t="s">
        <v>60</v>
      </c>
      <c r="C121" s="13">
        <v>1.34</v>
      </c>
      <c r="D121" s="13">
        <v>1.43</v>
      </c>
      <c r="E121" s="31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1.75</v>
      </c>
      <c r="F122" s="13">
        <v>1.74</v>
      </c>
      <c r="G122" s="13">
        <f>AVERAGE(C122:F122)</f>
        <v>1.5874999999999999</v>
      </c>
    </row>
    <row r="123" spans="2:9" x14ac:dyDescent="0.25">
      <c r="B123" s="61"/>
      <c r="C123" s="61"/>
      <c r="D123" s="61"/>
      <c r="E123" s="61"/>
      <c r="F123" s="61"/>
      <c r="G123" s="61"/>
      <c r="H123" s="61"/>
    </row>
    <row r="124" spans="2:9" x14ac:dyDescent="0.25">
      <c r="B124" s="66" t="s">
        <v>65</v>
      </c>
      <c r="C124" s="67"/>
      <c r="D124" s="67"/>
      <c r="E124" s="67"/>
      <c r="F124" s="67"/>
      <c r="G124" s="68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6" t="s">
        <v>67</v>
      </c>
      <c r="C126" s="67"/>
      <c r="D126" s="67"/>
      <c r="E126" s="67"/>
      <c r="F126" s="67"/>
      <c r="G126" s="68"/>
    </row>
    <row r="127" spans="2:9" x14ac:dyDescent="0.25">
      <c r="B127" s="3" t="s">
        <v>68</v>
      </c>
      <c r="C127" s="13">
        <v>1.93</v>
      </c>
      <c r="D127" s="37">
        <v>2.0765750000000001</v>
      </c>
      <c r="E127" s="33">
        <v>2.3070964652053259</v>
      </c>
      <c r="F127" s="4">
        <v>0</v>
      </c>
      <c r="G127" s="11">
        <f>AVERAGE(C127:E127)</f>
        <v>2.1045571550684419</v>
      </c>
    </row>
    <row r="128" spans="2:9" x14ac:dyDescent="0.25">
      <c r="B128" s="73"/>
      <c r="C128" s="73"/>
      <c r="D128" s="73"/>
      <c r="E128" s="73"/>
      <c r="F128" s="73"/>
      <c r="G128" s="73"/>
      <c r="H128" s="73"/>
    </row>
    <row r="129" spans="2:9" x14ac:dyDescent="0.25">
      <c r="B129" s="60" t="s">
        <v>69</v>
      </c>
      <c r="C129" s="60"/>
      <c r="D129" s="60"/>
      <c r="E129" s="60"/>
      <c r="F129" s="60"/>
      <c r="G129" s="60"/>
    </row>
    <row r="130" spans="2:9" x14ac:dyDescent="0.25">
      <c r="B130" s="14" t="s">
        <v>70</v>
      </c>
      <c r="C130" s="27">
        <v>237771</v>
      </c>
      <c r="D130" s="27">
        <v>3447</v>
      </c>
      <c r="E130" s="27">
        <v>8553</v>
      </c>
      <c r="F130" s="27">
        <v>775</v>
      </c>
      <c r="G130" s="27">
        <f>SUM(C130:F130)</f>
        <v>250546</v>
      </c>
    </row>
    <row r="131" spans="2:9" x14ac:dyDescent="0.25">
      <c r="B131" s="14" t="s">
        <v>71</v>
      </c>
      <c r="C131" s="27">
        <v>155540.795235</v>
      </c>
      <c r="D131" s="27">
        <v>3725</v>
      </c>
      <c r="E131" s="27">
        <v>1586</v>
      </c>
      <c r="F131" s="27">
        <v>739.63641299999995</v>
      </c>
      <c r="G131" s="11">
        <f>SUM(C131:F131)</f>
        <v>161591.431648</v>
      </c>
    </row>
    <row r="132" spans="2:9" x14ac:dyDescent="0.25">
      <c r="B132" s="61"/>
      <c r="C132" s="61"/>
      <c r="D132" s="61"/>
      <c r="E132" s="61"/>
      <c r="F132" s="61"/>
      <c r="G132" s="61"/>
      <c r="H132" s="61"/>
    </row>
    <row r="133" spans="2:9" x14ac:dyDescent="0.25">
      <c r="B133" s="60" t="s">
        <v>72</v>
      </c>
      <c r="C133" s="60"/>
      <c r="D133" s="60"/>
      <c r="E133" s="60"/>
      <c r="F133" s="60"/>
      <c r="G133" s="60"/>
    </row>
    <row r="134" spans="2:9" x14ac:dyDescent="0.25">
      <c r="B134" s="14" t="s">
        <v>73</v>
      </c>
      <c r="C134" s="27">
        <v>770937</v>
      </c>
      <c r="D134" s="27">
        <v>380832</v>
      </c>
      <c r="E134" s="27">
        <v>134550</v>
      </c>
      <c r="F134" s="27">
        <v>290470</v>
      </c>
      <c r="G134" s="27">
        <f>SUM(C134:F134)</f>
        <v>1576789</v>
      </c>
    </row>
    <row r="135" spans="2:9" x14ac:dyDescent="0.25">
      <c r="B135" s="61"/>
      <c r="C135" s="61"/>
      <c r="D135" s="61"/>
      <c r="E135" s="61"/>
      <c r="F135" s="61"/>
      <c r="G135" s="61"/>
      <c r="H135" s="61"/>
    </row>
    <row r="136" spans="2:9" ht="21" x14ac:dyDescent="0.35">
      <c r="B136" s="69" t="s">
        <v>74</v>
      </c>
      <c r="C136" s="69"/>
      <c r="D136" s="69"/>
      <c r="E136" s="69"/>
      <c r="F136" s="69"/>
      <c r="G136" s="69"/>
    </row>
    <row r="137" spans="2:9" x14ac:dyDescent="0.25">
      <c r="B137" s="60" t="s">
        <v>75</v>
      </c>
      <c r="C137" s="60"/>
      <c r="D137" s="60"/>
      <c r="E137" s="60"/>
      <c r="F137" s="60"/>
      <c r="G137" s="60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15382</v>
      </c>
      <c r="G138" s="27">
        <f>SUM(C138:F138)</f>
        <v>15382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167</v>
      </c>
      <c r="G139" s="27">
        <f>SUM(C139:F139)</f>
        <v>167</v>
      </c>
      <c r="H139" s="7"/>
      <c r="I139" s="7"/>
    </row>
    <row r="140" spans="2:9" x14ac:dyDescent="0.25">
      <c r="B140" s="61"/>
      <c r="C140" s="61"/>
      <c r="D140" s="61"/>
      <c r="E140" s="61"/>
      <c r="F140" s="61"/>
      <c r="G140" s="61"/>
      <c r="H140" s="61"/>
      <c r="I140" s="7"/>
    </row>
    <row r="141" spans="2:9" x14ac:dyDescent="0.25">
      <c r="B141" s="61"/>
      <c r="C141" s="61"/>
      <c r="D141" s="61"/>
      <c r="E141" s="61"/>
      <c r="F141" s="61"/>
      <c r="G141" s="61"/>
      <c r="H141" s="61"/>
    </row>
    <row r="142" spans="2:9" ht="21" x14ac:dyDescent="0.35">
      <c r="B142" s="70" t="s">
        <v>78</v>
      </c>
      <c r="C142" s="71"/>
      <c r="D142" s="71"/>
      <c r="E142" s="71"/>
      <c r="F142" s="71"/>
      <c r="G142" s="72"/>
    </row>
    <row r="143" spans="2:9" x14ac:dyDescent="0.25">
      <c r="B143" s="66" t="s">
        <v>79</v>
      </c>
      <c r="C143" s="67"/>
      <c r="D143" s="67"/>
      <c r="E143" s="67"/>
      <c r="F143" s="67"/>
      <c r="G143" s="68"/>
    </row>
    <row r="144" spans="2:9" x14ac:dyDescent="0.25">
      <c r="B144" s="61"/>
      <c r="C144" s="61"/>
      <c r="D144" s="61"/>
      <c r="E144" s="61"/>
      <c r="F144" s="61"/>
      <c r="G144" s="61"/>
      <c r="H144" s="61"/>
    </row>
    <row r="145" spans="2:8" x14ac:dyDescent="0.25">
      <c r="B145" s="65" t="s">
        <v>80</v>
      </c>
      <c r="C145" s="65"/>
      <c r="D145" s="65"/>
      <c r="E145" s="65"/>
      <c r="F145" s="65"/>
      <c r="G145" s="65"/>
    </row>
    <row r="146" spans="2:8" x14ac:dyDescent="0.25">
      <c r="B146" s="14" t="s">
        <v>81</v>
      </c>
      <c r="C146" s="27">
        <v>0</v>
      </c>
      <c r="D146" s="27">
        <v>2240</v>
      </c>
      <c r="E146" s="27">
        <v>0</v>
      </c>
      <c r="F146" s="1">
        <v>583</v>
      </c>
      <c r="G146" s="27">
        <f>SUM(C146:F146)</f>
        <v>2823</v>
      </c>
    </row>
    <row r="147" spans="2:8" x14ac:dyDescent="0.25">
      <c r="B147" s="14" t="s">
        <v>82</v>
      </c>
      <c r="C147" s="27">
        <v>0</v>
      </c>
      <c r="D147" s="27">
        <v>50.917999999999999</v>
      </c>
      <c r="E147" s="27">
        <v>0</v>
      </c>
      <c r="F147" s="29">
        <v>6.6937499999999996</v>
      </c>
      <c r="G147" s="11">
        <f>SUM(C147:F147)</f>
        <v>57.611750000000001</v>
      </c>
    </row>
    <row r="148" spans="2:8" x14ac:dyDescent="0.25">
      <c r="B148" s="61"/>
      <c r="C148" s="61"/>
      <c r="D148" s="61"/>
      <c r="E148" s="61"/>
      <c r="F148" s="61"/>
      <c r="G148" s="61"/>
      <c r="H148" s="61"/>
    </row>
    <row r="149" spans="2:8" x14ac:dyDescent="0.25">
      <c r="B149" s="65" t="s">
        <v>83</v>
      </c>
      <c r="C149" s="65"/>
      <c r="D149" s="65"/>
      <c r="E149" s="65"/>
      <c r="F149" s="65"/>
      <c r="G149" s="65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1"/>
      <c r="C152" s="61"/>
      <c r="D152" s="61"/>
      <c r="E152" s="61"/>
      <c r="F152" s="61"/>
      <c r="G152" s="61"/>
      <c r="H152" s="61"/>
    </row>
    <row r="153" spans="2:8" x14ac:dyDescent="0.25">
      <c r="B153" s="65" t="s">
        <v>86</v>
      </c>
      <c r="C153" s="65"/>
      <c r="D153" s="65"/>
      <c r="E153" s="65"/>
      <c r="F153" s="65"/>
      <c r="G153" s="65"/>
    </row>
    <row r="154" spans="2:8" x14ac:dyDescent="0.25">
      <c r="B154" s="14" t="s">
        <v>87</v>
      </c>
      <c r="C154" s="14">
        <v>0</v>
      </c>
      <c r="D154" s="27">
        <v>40</v>
      </c>
      <c r="E154" s="35">
        <v>0</v>
      </c>
      <c r="F154" s="34">
        <v>0</v>
      </c>
      <c r="G154" s="27">
        <f>SUM(C154:F154)</f>
        <v>40</v>
      </c>
      <c r="H154"/>
    </row>
    <row r="155" spans="2:8" x14ac:dyDescent="0.25">
      <c r="B155" s="14" t="s">
        <v>88</v>
      </c>
      <c r="C155" s="11">
        <v>0</v>
      </c>
      <c r="D155" s="27">
        <v>0.61</v>
      </c>
      <c r="E155" s="35">
        <v>0</v>
      </c>
      <c r="F155" s="34">
        <v>0</v>
      </c>
      <c r="G155" s="11">
        <f>SUM(C155:F155)</f>
        <v>0.61</v>
      </c>
      <c r="H155"/>
    </row>
    <row r="156" spans="2:8" x14ac:dyDescent="0.25">
      <c r="B156" s="61"/>
      <c r="C156" s="61"/>
      <c r="D156" s="61"/>
      <c r="E156" s="61"/>
      <c r="F156" s="61"/>
      <c r="G156" s="61"/>
      <c r="H156" s="61"/>
    </row>
    <row r="157" spans="2:8" x14ac:dyDescent="0.25">
      <c r="B157" s="62" t="s">
        <v>89</v>
      </c>
      <c r="C157" s="63"/>
      <c r="D157" s="63"/>
      <c r="E157" s="63"/>
      <c r="F157" s="63"/>
      <c r="G157" s="64"/>
    </row>
    <row r="158" spans="2:8" x14ac:dyDescent="0.25">
      <c r="B158" s="18" t="s">
        <v>90</v>
      </c>
      <c r="C158" s="19">
        <v>0</v>
      </c>
      <c r="D158" s="44">
        <v>2280</v>
      </c>
      <c r="E158" s="19">
        <v>0</v>
      </c>
      <c r="F158" s="19">
        <f>+F146+F154</f>
        <v>583</v>
      </c>
      <c r="G158" s="19">
        <f>SUM(C158:F158)</f>
        <v>2863</v>
      </c>
    </row>
    <row r="159" spans="2:8" x14ac:dyDescent="0.25">
      <c r="B159" s="18" t="s">
        <v>91</v>
      </c>
      <c r="C159" s="19">
        <v>0</v>
      </c>
      <c r="D159" s="44">
        <v>51.527999999999999</v>
      </c>
      <c r="E159" s="19">
        <v>0</v>
      </c>
      <c r="F159" s="19">
        <f>+F147+F155</f>
        <v>6.6937499999999996</v>
      </c>
      <c r="G159" s="22">
        <f>SUM(C159:F159)</f>
        <v>58.22175</v>
      </c>
    </row>
    <row r="160" spans="2:8" x14ac:dyDescent="0.25">
      <c r="B160" s="61"/>
      <c r="C160" s="61"/>
      <c r="D160" s="61"/>
      <c r="E160" s="61"/>
      <c r="F160" s="61"/>
      <c r="G160" s="61"/>
      <c r="H160" s="61"/>
    </row>
    <row r="161" spans="2:8" x14ac:dyDescent="0.25">
      <c r="B161" s="60" t="s">
        <v>92</v>
      </c>
      <c r="C161" s="60"/>
      <c r="D161" s="60"/>
      <c r="E161" s="60"/>
      <c r="F161" s="60"/>
      <c r="G161" s="60"/>
    </row>
    <row r="162" spans="2:8" x14ac:dyDescent="0.25">
      <c r="B162" s="14" t="s">
        <v>87</v>
      </c>
      <c r="C162" s="27">
        <v>2724</v>
      </c>
      <c r="D162" s="27">
        <v>36738</v>
      </c>
      <c r="E162" s="27">
        <v>4694</v>
      </c>
      <c r="F162" s="27">
        <v>23250</v>
      </c>
      <c r="G162" s="27">
        <f>SUM(C162:F162)</f>
        <v>67406</v>
      </c>
    </row>
    <row r="163" spans="2:8" x14ac:dyDescent="0.25">
      <c r="B163" s="14" t="s">
        <v>88</v>
      </c>
      <c r="C163" s="27">
        <f>66497456/1000000</f>
        <v>66.497456</v>
      </c>
      <c r="D163" s="27">
        <v>260.87920700000001</v>
      </c>
      <c r="E163" s="27">
        <v>71.17</v>
      </c>
      <c r="F163" s="27">
        <v>200.99615900000001</v>
      </c>
      <c r="G163" s="11">
        <f>SUM(C163:F163)</f>
        <v>599.542822</v>
      </c>
    </row>
    <row r="164" spans="2:8" x14ac:dyDescent="0.25">
      <c r="B164" s="61"/>
      <c r="C164" s="61"/>
      <c r="D164" s="61"/>
      <c r="E164" s="61"/>
      <c r="F164" s="61"/>
      <c r="G164" s="61"/>
    </row>
    <row r="165" spans="2:8" x14ac:dyDescent="0.25">
      <c r="B165" s="66" t="s">
        <v>93</v>
      </c>
      <c r="C165" s="67"/>
      <c r="D165" s="67"/>
      <c r="E165" s="67"/>
      <c r="F165" s="67"/>
      <c r="G165" s="68"/>
    </row>
    <row r="166" spans="2:8" x14ac:dyDescent="0.25">
      <c r="B166" s="62" t="s">
        <v>94</v>
      </c>
      <c r="C166" s="63"/>
      <c r="D166" s="63"/>
      <c r="E166" s="63"/>
      <c r="F166" s="63"/>
      <c r="G166" s="64"/>
    </row>
    <row r="167" spans="2:8" x14ac:dyDescent="0.25">
      <c r="B167" s="14" t="s">
        <v>95</v>
      </c>
      <c r="C167" s="27">
        <v>833</v>
      </c>
      <c r="D167" s="27">
        <v>4681</v>
      </c>
      <c r="E167" s="27">
        <v>126</v>
      </c>
      <c r="F167" s="27">
        <v>659</v>
      </c>
      <c r="G167" s="27">
        <f>SUM(C167:F167)</f>
        <v>6299</v>
      </c>
    </row>
    <row r="168" spans="2:8" x14ac:dyDescent="0.25">
      <c r="B168" s="14" t="s">
        <v>96</v>
      </c>
      <c r="C168" s="27">
        <f>29155000/1000000</f>
        <v>29.155000000000001</v>
      </c>
      <c r="D168" s="27">
        <v>115.148549</v>
      </c>
      <c r="E168" s="27">
        <v>3.15</v>
      </c>
      <c r="F168" s="27">
        <v>22.245000000000001</v>
      </c>
      <c r="G168" s="11">
        <f>SUM(C168:F168)</f>
        <v>169.69854900000001</v>
      </c>
    </row>
    <row r="169" spans="2:8" x14ac:dyDescent="0.25">
      <c r="B169" s="61"/>
      <c r="C169" s="61"/>
      <c r="D169" s="61"/>
      <c r="E169" s="61"/>
      <c r="F169" s="61"/>
      <c r="G169" s="61"/>
    </row>
    <row r="170" spans="2:8" x14ac:dyDescent="0.25">
      <c r="B170" s="62" t="s">
        <v>97</v>
      </c>
      <c r="C170" s="63"/>
      <c r="D170" s="63"/>
      <c r="E170" s="63"/>
      <c r="F170" s="63"/>
      <c r="G170" s="64"/>
    </row>
    <row r="171" spans="2:8" x14ac:dyDescent="0.25">
      <c r="B171" s="14" t="s">
        <v>98</v>
      </c>
      <c r="C171" s="27">
        <v>1732</v>
      </c>
      <c r="D171" s="27">
        <v>616</v>
      </c>
      <c r="E171" s="27">
        <v>104</v>
      </c>
      <c r="F171" s="27">
        <v>402</v>
      </c>
      <c r="G171" s="27">
        <f>SUM(C171:F171)</f>
        <v>2854</v>
      </c>
    </row>
    <row r="172" spans="2:8" x14ac:dyDescent="0.25">
      <c r="B172" s="14" t="s">
        <v>96</v>
      </c>
      <c r="C172" s="27">
        <f>60620000/1000000</f>
        <v>60.62</v>
      </c>
      <c r="D172" s="27">
        <v>12.978</v>
      </c>
      <c r="E172" s="27">
        <v>2.6</v>
      </c>
      <c r="F172" s="27">
        <v>8.7520000000000007</v>
      </c>
      <c r="G172" s="11">
        <f>SUM(C172:F172)</f>
        <v>84.949999999999989</v>
      </c>
    </row>
    <row r="173" spans="2:8" x14ac:dyDescent="0.25">
      <c r="B173" s="61"/>
      <c r="C173" s="61"/>
      <c r="D173" s="61"/>
      <c r="E173" s="61"/>
      <c r="F173" s="61"/>
      <c r="G173" s="61"/>
      <c r="H173" s="61"/>
    </row>
    <row r="174" spans="2:8" x14ac:dyDescent="0.25">
      <c r="B174" s="62" t="s">
        <v>99</v>
      </c>
      <c r="C174" s="63"/>
      <c r="D174" s="63"/>
      <c r="E174" s="63"/>
      <c r="F174" s="63"/>
      <c r="G174" s="64"/>
    </row>
    <row r="175" spans="2:8" x14ac:dyDescent="0.25">
      <c r="B175" s="14" t="s">
        <v>98</v>
      </c>
      <c r="C175" s="27">
        <v>182</v>
      </c>
      <c r="D175" s="27">
        <v>318</v>
      </c>
      <c r="E175" s="27">
        <v>131</v>
      </c>
      <c r="F175" s="27">
        <v>36</v>
      </c>
      <c r="G175" s="27">
        <f>SUM(C175:F175)</f>
        <v>667</v>
      </c>
    </row>
    <row r="176" spans="2:8" x14ac:dyDescent="0.25">
      <c r="B176" s="14" t="s">
        <v>96</v>
      </c>
      <c r="C176" s="27">
        <f>18960000/1000000</f>
        <v>18.96</v>
      </c>
      <c r="D176" s="27">
        <v>33.619999999999997</v>
      </c>
      <c r="E176" s="27">
        <v>8.4309999999999992</v>
      </c>
      <c r="F176" s="27">
        <v>3.58</v>
      </c>
      <c r="G176" s="11">
        <f>SUM(C176:F176)</f>
        <v>64.590999999999994</v>
      </c>
    </row>
    <row r="177" spans="2:8" x14ac:dyDescent="0.25">
      <c r="B177" s="61"/>
      <c r="C177" s="61"/>
      <c r="D177" s="61"/>
      <c r="E177" s="61"/>
      <c r="F177" s="61"/>
      <c r="G177" s="61"/>
      <c r="H177" s="61"/>
    </row>
    <row r="178" spans="2:8" x14ac:dyDescent="0.25">
      <c r="B178" s="62" t="s">
        <v>100</v>
      </c>
      <c r="C178" s="63"/>
      <c r="D178" s="63"/>
      <c r="E178" s="63"/>
      <c r="F178" s="63"/>
      <c r="G178" s="64"/>
    </row>
    <row r="179" spans="2:8" x14ac:dyDescent="0.25">
      <c r="B179" s="14" t="s">
        <v>98</v>
      </c>
      <c r="C179" s="27">
        <v>382</v>
      </c>
      <c r="D179" s="27">
        <v>170513</v>
      </c>
      <c r="E179" s="27">
        <v>0</v>
      </c>
      <c r="F179" s="27">
        <v>0</v>
      </c>
      <c r="G179" s="27">
        <f>SUM(C179:F179)</f>
        <v>170895</v>
      </c>
    </row>
    <row r="180" spans="2:8" x14ac:dyDescent="0.25">
      <c r="B180" s="14" t="s">
        <v>96</v>
      </c>
      <c r="C180" s="27">
        <f>11770000/1000000</f>
        <v>11.77</v>
      </c>
      <c r="D180" s="27">
        <v>3384.3677546567897</v>
      </c>
      <c r="E180" s="27">
        <v>0</v>
      </c>
      <c r="F180" s="27">
        <v>0</v>
      </c>
      <c r="G180" s="11">
        <f>SUM(C180:F180)</f>
        <v>3396.1377546567896</v>
      </c>
    </row>
    <row r="181" spans="2:8" x14ac:dyDescent="0.25">
      <c r="B181" s="61"/>
      <c r="C181" s="61"/>
      <c r="D181" s="61"/>
      <c r="E181" s="61"/>
      <c r="F181" s="61"/>
      <c r="G181" s="61"/>
      <c r="H181" s="61"/>
    </row>
    <row r="182" spans="2:8" x14ac:dyDescent="0.25">
      <c r="B182" s="60" t="s">
        <v>101</v>
      </c>
      <c r="C182" s="60"/>
      <c r="D182" s="60"/>
      <c r="E182" s="60"/>
      <c r="F182" s="60"/>
      <c r="G182" s="60"/>
    </row>
    <row r="183" spans="2:8" x14ac:dyDescent="0.25">
      <c r="B183" s="18" t="s">
        <v>102</v>
      </c>
      <c r="C183" s="19">
        <f>+C179+C175+C171+C167</f>
        <v>3129</v>
      </c>
      <c r="D183" s="19">
        <v>176128</v>
      </c>
      <c r="E183" s="19">
        <v>361</v>
      </c>
      <c r="F183" s="19">
        <f>+F179+F175+F171+F167</f>
        <v>1097</v>
      </c>
      <c r="G183" s="19">
        <f>SUM(C183:F183)</f>
        <v>180715</v>
      </c>
    </row>
    <row r="184" spans="2:8" x14ac:dyDescent="0.25">
      <c r="B184" s="18" t="s">
        <v>103</v>
      </c>
      <c r="C184" s="19">
        <f>+C180+C176+C172+C168</f>
        <v>120.505</v>
      </c>
      <c r="D184" s="19">
        <v>3546.1143036567896</v>
      </c>
      <c r="E184" s="19">
        <v>14.180999999999999</v>
      </c>
      <c r="F184" s="19">
        <f>+F180+F176+F172+F168</f>
        <v>34.576999999999998</v>
      </c>
      <c r="G184" s="22">
        <f>SUM(C184:F184)</f>
        <v>3715.37730365679</v>
      </c>
    </row>
    <row r="185" spans="2:8" x14ac:dyDescent="0.25">
      <c r="B185" s="61"/>
      <c r="C185" s="61"/>
      <c r="D185" s="61"/>
      <c r="E185" s="61"/>
      <c r="F185" s="61"/>
      <c r="G185" s="61"/>
      <c r="H185" s="61"/>
    </row>
    <row r="186" spans="2:8" x14ac:dyDescent="0.25">
      <c r="B186" s="60" t="s">
        <v>104</v>
      </c>
      <c r="C186" s="60"/>
      <c r="D186" s="60"/>
      <c r="E186" s="60"/>
      <c r="F186" s="60"/>
      <c r="G186" s="60"/>
    </row>
    <row r="187" spans="2:8" x14ac:dyDescent="0.25">
      <c r="B187" s="14" t="s">
        <v>105</v>
      </c>
      <c r="C187" s="27">
        <v>4461</v>
      </c>
      <c r="D187" s="27">
        <v>4440</v>
      </c>
      <c r="E187" s="27">
        <v>359</v>
      </c>
      <c r="F187" s="27">
        <f>F166+F171+F175+F179+F162</f>
        <v>23688</v>
      </c>
      <c r="G187" s="27">
        <f>SUM(C187:F187)</f>
        <v>32948</v>
      </c>
    </row>
    <row r="188" spans="2:8" x14ac:dyDescent="0.25">
      <c r="B188" s="14" t="s">
        <v>106</v>
      </c>
      <c r="C188" s="27">
        <f>82648902/1000000</f>
        <v>82.648902000000007</v>
      </c>
      <c r="D188" s="27">
        <v>245.50747799999999</v>
      </c>
      <c r="E188" s="27">
        <v>37.56</v>
      </c>
      <c r="F188" s="27">
        <f>F167+F172+F176+F180+F163</f>
        <v>872.32815900000003</v>
      </c>
      <c r="G188" s="11">
        <f>SUM(C188:F188)</f>
        <v>1238.044539</v>
      </c>
    </row>
    <row r="189" spans="2:8" x14ac:dyDescent="0.25">
      <c r="B189" s="61"/>
      <c r="C189" s="61"/>
      <c r="D189" s="61"/>
      <c r="E189" s="61"/>
      <c r="F189" s="61"/>
      <c r="G189" s="61"/>
      <c r="H189" s="61"/>
    </row>
    <row r="190" spans="2:8" x14ac:dyDescent="0.25">
      <c r="B190" s="60" t="s">
        <v>107</v>
      </c>
      <c r="C190" s="60"/>
      <c r="D190" s="60"/>
      <c r="E190" s="60"/>
      <c r="F190" s="60"/>
      <c r="G190" s="60"/>
    </row>
    <row r="191" spans="2:8" x14ac:dyDescent="0.25">
      <c r="B191" s="18" t="s">
        <v>108</v>
      </c>
      <c r="C191" s="19">
        <f>C187+C162+C183</f>
        <v>10314</v>
      </c>
      <c r="D191" s="19">
        <v>219586</v>
      </c>
      <c r="E191" s="19">
        <v>5414</v>
      </c>
      <c r="F191" s="19">
        <f>F158+F162+F183+F187</f>
        <v>48618</v>
      </c>
      <c r="G191" s="19">
        <f>SUM(C191:F191)</f>
        <v>283932</v>
      </c>
    </row>
    <row r="192" spans="2:8" x14ac:dyDescent="0.25">
      <c r="B192" s="18" t="s">
        <v>109</v>
      </c>
      <c r="C192" s="19">
        <f>C188+C163+C184</f>
        <v>269.65135800000002</v>
      </c>
      <c r="D192" s="19">
        <v>4104.0289886567898</v>
      </c>
      <c r="E192" s="19">
        <v>122.911</v>
      </c>
      <c r="F192" s="19">
        <f>F159+F184+F163+F188</f>
        <v>1114.5950680000001</v>
      </c>
      <c r="G192" s="22">
        <f>SUM(C192:F192)</f>
        <v>5611.1864146567896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5264-35D7-43C8-A5DE-BD3868C2AAA4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81" t="s">
        <v>1</v>
      </c>
      <c r="C2" s="82"/>
      <c r="D2" s="82"/>
      <c r="E2" s="82"/>
      <c r="F2" s="83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70" t="s">
        <v>7</v>
      </c>
      <c r="B4" s="71"/>
      <c r="C4" s="71"/>
      <c r="D4" s="71"/>
      <c r="E4" s="71"/>
      <c r="F4" s="72"/>
    </row>
    <row r="5" spans="1:6" x14ac:dyDescent="0.25">
      <c r="A5" s="66" t="s">
        <v>8</v>
      </c>
      <c r="B5" s="67"/>
      <c r="C5" s="67"/>
      <c r="D5" s="67"/>
      <c r="E5" s="67"/>
      <c r="F5" s="68"/>
    </row>
    <row r="6" spans="1:6" x14ac:dyDescent="0.25">
      <c r="A6" s="4" t="s">
        <v>9</v>
      </c>
      <c r="B6" s="12">
        <v>55320</v>
      </c>
      <c r="C6" s="12">
        <v>8238</v>
      </c>
      <c r="D6" s="17">
        <v>8335</v>
      </c>
      <c r="E6" s="12">
        <v>9893</v>
      </c>
      <c r="F6" s="12">
        <f>+E6+D6+C6+B6</f>
        <v>81786</v>
      </c>
    </row>
    <row r="7" spans="1:6" x14ac:dyDescent="0.25">
      <c r="A7" s="14" t="s">
        <v>10</v>
      </c>
      <c r="B7" s="16">
        <v>544</v>
      </c>
      <c r="C7" s="12">
        <v>254</v>
      </c>
      <c r="D7" s="17">
        <v>24</v>
      </c>
      <c r="E7" s="12">
        <v>151</v>
      </c>
      <c r="F7" s="12">
        <f>+E7+D7+C7+B7</f>
        <v>973</v>
      </c>
    </row>
    <row r="8" spans="1:6" x14ac:dyDescent="0.25">
      <c r="A8" s="18" t="s">
        <v>11</v>
      </c>
      <c r="B8" s="25">
        <v>55864</v>
      </c>
      <c r="C8" s="25">
        <v>8492</v>
      </c>
      <c r="D8" s="25">
        <v>8359</v>
      </c>
      <c r="E8" s="25">
        <v>10044</v>
      </c>
      <c r="F8" s="25">
        <f>+E8+D8+C8+B8</f>
        <v>82759</v>
      </c>
    </row>
    <row r="9" spans="1:6" x14ac:dyDescent="0.25">
      <c r="A9" s="61"/>
      <c r="B9" s="61"/>
      <c r="C9" s="61"/>
      <c r="D9" s="61"/>
      <c r="E9" s="61"/>
      <c r="F9" s="61"/>
    </row>
    <row r="10" spans="1:6" x14ac:dyDescent="0.25">
      <c r="A10" s="66" t="s">
        <v>12</v>
      </c>
      <c r="B10" s="67"/>
      <c r="C10" s="67"/>
      <c r="D10" s="67"/>
      <c r="E10" s="67"/>
      <c r="F10" s="68"/>
    </row>
    <row r="11" spans="1:6" x14ac:dyDescent="0.25">
      <c r="A11" s="62" t="s">
        <v>13</v>
      </c>
      <c r="B11" s="63"/>
      <c r="C11" s="63"/>
      <c r="D11" s="63"/>
      <c r="E11" s="63"/>
      <c r="F11" s="64"/>
    </row>
    <row r="12" spans="1:6" x14ac:dyDescent="0.25">
      <c r="A12" s="16" t="s">
        <v>14</v>
      </c>
      <c r="B12" s="12">
        <v>795644</v>
      </c>
      <c r="C12" s="12">
        <v>109285</v>
      </c>
      <c r="D12" s="12">
        <v>42341</v>
      </c>
      <c r="E12" s="12">
        <v>0</v>
      </c>
      <c r="F12" s="17">
        <f>SUM(B12:E12)</f>
        <v>947270</v>
      </c>
    </row>
    <row r="13" spans="1:6" x14ac:dyDescent="0.25">
      <c r="A13" s="16" t="s">
        <v>15</v>
      </c>
      <c r="B13" s="12">
        <v>2568221</v>
      </c>
      <c r="C13" s="12">
        <v>574813</v>
      </c>
      <c r="D13" s="12">
        <v>238249</v>
      </c>
      <c r="E13" s="12">
        <v>0</v>
      </c>
      <c r="F13" s="17">
        <f>SUM(B13:E13)</f>
        <v>3381283</v>
      </c>
    </row>
    <row r="14" spans="1:6" x14ac:dyDescent="0.25">
      <c r="A14" s="18" t="s">
        <v>16</v>
      </c>
      <c r="B14" s="25">
        <v>3363865</v>
      </c>
      <c r="C14" s="25">
        <v>985500</v>
      </c>
      <c r="D14" s="25">
        <v>280590</v>
      </c>
      <c r="E14" s="25">
        <v>153177</v>
      </c>
      <c r="F14" s="19">
        <f>SUM(B14:E14)</f>
        <v>4783132</v>
      </c>
    </row>
    <row r="15" spans="1:6" x14ac:dyDescent="0.25">
      <c r="A15" s="18" t="s">
        <v>17</v>
      </c>
      <c r="B15" s="25">
        <v>489537</v>
      </c>
      <c r="C15" s="25">
        <v>167162</v>
      </c>
      <c r="D15" s="25">
        <v>3363</v>
      </c>
      <c r="E15" s="25">
        <v>355969</v>
      </c>
      <c r="F15" s="19">
        <f>SUM(B15:E15)</f>
        <v>1016031</v>
      </c>
    </row>
    <row r="16" spans="1:6" x14ac:dyDescent="0.25">
      <c r="A16" s="18" t="s">
        <v>18</v>
      </c>
      <c r="B16" s="25">
        <v>3853402</v>
      </c>
      <c r="C16" s="25">
        <v>1152662</v>
      </c>
      <c r="D16" s="25">
        <v>283953</v>
      </c>
      <c r="E16" s="25">
        <v>509146</v>
      </c>
      <c r="F16" s="19">
        <f>SUM(B16:E16)</f>
        <v>5799163</v>
      </c>
    </row>
    <row r="17" spans="1:7" x14ac:dyDescent="0.25">
      <c r="A17" s="61"/>
      <c r="B17" s="61"/>
      <c r="C17" s="61"/>
      <c r="D17" s="61"/>
      <c r="E17" s="61"/>
      <c r="F17" s="61"/>
    </row>
    <row r="18" spans="1:7" x14ac:dyDescent="0.25">
      <c r="A18" s="62" t="s">
        <v>19</v>
      </c>
      <c r="B18" s="63"/>
      <c r="C18" s="63"/>
      <c r="D18" s="63"/>
      <c r="E18" s="63"/>
      <c r="F18" s="64"/>
    </row>
    <row r="19" spans="1:7" x14ac:dyDescent="0.25">
      <c r="A19" s="14" t="s">
        <v>20</v>
      </c>
      <c r="B19" s="52">
        <v>3503</v>
      </c>
      <c r="C19" s="27">
        <v>4</v>
      </c>
      <c r="D19" s="27">
        <v>0</v>
      </c>
      <c r="E19" s="27">
        <v>0</v>
      </c>
      <c r="F19" s="27">
        <f>SUM(B19:E19)</f>
        <v>3507</v>
      </c>
    </row>
    <row r="20" spans="1:7" x14ac:dyDescent="0.25">
      <c r="A20" s="84"/>
      <c r="B20" s="84"/>
      <c r="C20" s="84"/>
      <c r="D20" s="84"/>
      <c r="E20" s="84"/>
      <c r="F20" s="84"/>
    </row>
    <row r="21" spans="1:7" x14ac:dyDescent="0.25">
      <c r="A21" s="18" t="s">
        <v>21</v>
      </c>
      <c r="B21" s="19">
        <v>3856905</v>
      </c>
      <c r="C21" s="19">
        <v>1152666</v>
      </c>
      <c r="D21" s="19">
        <v>283953</v>
      </c>
      <c r="E21" s="19">
        <v>509146</v>
      </c>
      <c r="F21" s="19">
        <f>SUM(B21:E21)</f>
        <v>5802670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403235</v>
      </c>
      <c r="C24" s="19">
        <v>201690</v>
      </c>
      <c r="D24" s="19">
        <v>141646</v>
      </c>
      <c r="E24" s="19">
        <v>685963</v>
      </c>
      <c r="F24" s="19">
        <f>SUM(B24:E24)</f>
        <v>1432534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4260140</v>
      </c>
      <c r="C27" s="19">
        <f>+C24+C21</f>
        <v>1354356</v>
      </c>
      <c r="D27" s="19">
        <f>+D21+D24</f>
        <v>425599</v>
      </c>
      <c r="E27" s="19">
        <f>+E24+E21</f>
        <v>1195109</v>
      </c>
      <c r="F27" s="19">
        <f>SUM(B27:E27)</f>
        <v>7235204</v>
      </c>
    </row>
    <row r="28" spans="1:7" x14ac:dyDescent="0.25">
      <c r="A28" s="61"/>
      <c r="B28" s="61"/>
      <c r="C28" s="61"/>
      <c r="D28" s="61"/>
      <c r="E28" s="61"/>
      <c r="F28" s="61"/>
      <c r="G28" s="61"/>
    </row>
    <row r="29" spans="1:7" x14ac:dyDescent="0.25">
      <c r="A29" s="66" t="s">
        <v>26</v>
      </c>
      <c r="B29" s="67"/>
      <c r="C29" s="67"/>
      <c r="D29" s="67"/>
      <c r="E29" s="67"/>
      <c r="F29" s="68"/>
    </row>
    <row r="30" spans="1:7" x14ac:dyDescent="0.25">
      <c r="A30" s="14" t="s">
        <v>27</v>
      </c>
      <c r="B30" s="27">
        <v>1298674</v>
      </c>
      <c r="C30" s="27">
        <v>130361</v>
      </c>
      <c r="D30" s="27">
        <v>76885</v>
      </c>
      <c r="E30" s="27">
        <v>206460</v>
      </c>
      <c r="F30" s="27">
        <f>SUM(B30:E30)</f>
        <v>1712380</v>
      </c>
    </row>
    <row r="31" spans="1:7" x14ac:dyDescent="0.25">
      <c r="A31" s="61"/>
      <c r="B31" s="61"/>
      <c r="C31" s="61"/>
      <c r="D31" s="61"/>
      <c r="E31" s="61"/>
      <c r="F31" s="61"/>
      <c r="G31" s="61"/>
    </row>
    <row r="32" spans="1:7" x14ac:dyDescent="0.25">
      <c r="A32" s="66" t="s">
        <v>28</v>
      </c>
      <c r="B32" s="67"/>
      <c r="C32" s="67"/>
      <c r="D32" s="67"/>
      <c r="E32" s="67"/>
      <c r="F32" s="68"/>
    </row>
    <row r="33" spans="1:8" x14ac:dyDescent="0.25">
      <c r="A33" s="14" t="s">
        <v>29</v>
      </c>
      <c r="B33" s="27">
        <v>3964650632718</v>
      </c>
      <c r="C33" s="27">
        <v>659238244130</v>
      </c>
      <c r="D33" s="27">
        <v>261553031644</v>
      </c>
      <c r="E33" s="27">
        <v>466774756339</v>
      </c>
      <c r="F33" s="27">
        <f>SUM(B33:E33)</f>
        <v>5352216664831</v>
      </c>
    </row>
    <row r="34" spans="1:8" x14ac:dyDescent="0.25">
      <c r="A34" s="14" t="s">
        <v>30</v>
      </c>
      <c r="B34" s="27">
        <v>174197821762</v>
      </c>
      <c r="C34" s="27">
        <v>71116580903</v>
      </c>
      <c r="D34" s="27">
        <v>43415536100</v>
      </c>
      <c r="E34" s="27">
        <v>207914418170</v>
      </c>
      <c r="F34" s="27">
        <f>SUM(B34:E34)</f>
        <v>496644356935</v>
      </c>
    </row>
    <row r="35" spans="1:8" x14ac:dyDescent="0.25">
      <c r="A35" s="39" t="s">
        <v>31</v>
      </c>
      <c r="B35" s="19">
        <v>4138848454480</v>
      </c>
      <c r="C35" s="19">
        <v>730354825033</v>
      </c>
      <c r="D35" s="19">
        <v>304968567744</v>
      </c>
      <c r="E35" s="19">
        <v>674689174509</v>
      </c>
      <c r="F35" s="40">
        <f>SUM(B35:E35)</f>
        <v>5848861021766</v>
      </c>
    </row>
    <row r="36" spans="1:8" x14ac:dyDescent="0.25">
      <c r="A36" s="77" t="s">
        <v>32</v>
      </c>
      <c r="B36" s="78"/>
      <c r="C36" s="78"/>
      <c r="D36" s="78"/>
      <c r="E36" s="78"/>
      <c r="F36" s="78"/>
      <c r="G36" s="79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70" t="s">
        <v>33</v>
      </c>
      <c r="B38" s="71"/>
      <c r="C38" s="71"/>
      <c r="D38" s="71"/>
      <c r="E38" s="71"/>
      <c r="F38" s="72"/>
    </row>
    <row r="39" spans="1:8" x14ac:dyDescent="0.25">
      <c r="A39" s="66" t="s">
        <v>34</v>
      </c>
      <c r="B39" s="67"/>
      <c r="C39" s="67"/>
      <c r="D39" s="67"/>
      <c r="E39" s="67"/>
      <c r="F39" s="68"/>
    </row>
    <row r="40" spans="1:8" x14ac:dyDescent="0.25">
      <c r="A40" s="14" t="s">
        <v>35</v>
      </c>
      <c r="B40" s="27">
        <v>1147661</v>
      </c>
      <c r="C40" s="27">
        <v>118264</v>
      </c>
      <c r="D40" s="27">
        <v>51018</v>
      </c>
      <c r="E40" s="27">
        <v>70033</v>
      </c>
      <c r="F40" s="27">
        <f>SUM(B40:E40)</f>
        <v>1386976</v>
      </c>
      <c r="G40" s="7"/>
      <c r="H40" s="7"/>
    </row>
    <row r="41" spans="1:8" x14ac:dyDescent="0.25">
      <c r="A41" s="14" t="s">
        <v>36</v>
      </c>
      <c r="B41" s="27">
        <f>4627739865/1000000</f>
        <v>4627.7398649999996</v>
      </c>
      <c r="C41" s="27">
        <v>1291.745766</v>
      </c>
      <c r="D41" s="27">
        <v>541</v>
      </c>
      <c r="E41" s="12">
        <v>706.54799600000001</v>
      </c>
      <c r="F41" s="11">
        <f>SUM(B41:E41)</f>
        <v>7167.0336269999998</v>
      </c>
      <c r="G41" s="7"/>
      <c r="H41" s="7"/>
    </row>
    <row r="42" spans="1:8" x14ac:dyDescent="0.25">
      <c r="A42" s="61"/>
      <c r="B42" s="61"/>
      <c r="C42" s="61"/>
      <c r="D42" s="61"/>
      <c r="E42" s="61"/>
      <c r="F42" s="61"/>
      <c r="G42" s="61"/>
      <c r="H42" s="7"/>
    </row>
    <row r="43" spans="1:8" x14ac:dyDescent="0.25">
      <c r="A43" s="60" t="s">
        <v>37</v>
      </c>
      <c r="B43" s="60"/>
      <c r="C43" s="60"/>
      <c r="D43" s="60"/>
      <c r="E43" s="60"/>
      <c r="F43" s="60"/>
      <c r="H43" s="7"/>
    </row>
    <row r="44" spans="1:8" x14ac:dyDescent="0.25">
      <c r="A44" s="14" t="s">
        <v>38</v>
      </c>
      <c r="B44" s="12">
        <v>2</v>
      </c>
      <c r="C44" s="12">
        <v>5</v>
      </c>
      <c r="D44" s="12">
        <v>2</v>
      </c>
      <c r="E44" s="12">
        <v>1</v>
      </c>
      <c r="F44" s="27">
        <f>SUM(B44:E44)</f>
        <v>10</v>
      </c>
      <c r="G44" s="7"/>
      <c r="H44" s="7"/>
    </row>
    <row r="45" spans="1:8" x14ac:dyDescent="0.25">
      <c r="A45" s="14" t="s">
        <v>39</v>
      </c>
      <c r="B45" s="12">
        <f>4827260/1000000</f>
        <v>4.8272599999999999</v>
      </c>
      <c r="C45" s="12">
        <v>4.9126999999999997E-2</v>
      </c>
      <c r="D45" s="12">
        <v>1.4999999999999999E-2</v>
      </c>
      <c r="E45" s="12">
        <v>0.121561</v>
      </c>
      <c r="F45" s="11">
        <f>SUM(B45:E45)</f>
        <v>5.0129479999999997</v>
      </c>
      <c r="G45" s="7"/>
      <c r="H45" s="7"/>
    </row>
    <row r="46" spans="1:8" x14ac:dyDescent="0.25">
      <c r="A46" s="61"/>
      <c r="B46" s="61"/>
      <c r="C46" s="61"/>
      <c r="D46" s="61"/>
      <c r="E46" s="61"/>
      <c r="F46" s="61"/>
      <c r="G46" s="61"/>
      <c r="H46" s="7"/>
    </row>
    <row r="47" spans="1:8" x14ac:dyDescent="0.25">
      <c r="A47" s="60" t="s">
        <v>40</v>
      </c>
      <c r="B47" s="60"/>
      <c r="C47" s="60"/>
      <c r="D47" s="60"/>
      <c r="E47" s="60"/>
      <c r="F47" s="60"/>
      <c r="H47" s="7"/>
    </row>
    <row r="48" spans="1:8" x14ac:dyDescent="0.25">
      <c r="A48" s="14" t="s">
        <v>41</v>
      </c>
      <c r="B48" s="12">
        <v>111236</v>
      </c>
      <c r="C48" s="12">
        <v>63866</v>
      </c>
      <c r="D48" s="12">
        <v>9945</v>
      </c>
      <c r="E48" s="12">
        <v>54705</v>
      </c>
      <c r="F48" s="27">
        <f>SUM(B48:E48)</f>
        <v>239752</v>
      </c>
      <c r="G48" s="7"/>
      <c r="H48" s="7"/>
    </row>
    <row r="49" spans="1:8" x14ac:dyDescent="0.25">
      <c r="A49" s="14" t="s">
        <v>42</v>
      </c>
      <c r="B49" s="12">
        <f>(81704245546+ 1550378305)/1000000</f>
        <v>83254.623850999997</v>
      </c>
      <c r="C49" s="12">
        <v>26531</v>
      </c>
      <c r="D49" s="12">
        <v>10665</v>
      </c>
      <c r="E49" s="12">
        <v>11545.979074000001</v>
      </c>
      <c r="F49" s="11">
        <f>SUM(B49:E49)</f>
        <v>131996.60292499998</v>
      </c>
      <c r="G49" s="7"/>
      <c r="H49" s="7"/>
    </row>
    <row r="50" spans="1:8" x14ac:dyDescent="0.25">
      <c r="A50" s="61"/>
      <c r="B50" s="61"/>
      <c r="C50" s="61"/>
      <c r="D50" s="61"/>
      <c r="E50" s="61"/>
      <c r="F50" s="61"/>
      <c r="G50" s="61"/>
    </row>
    <row r="51" spans="1:8" ht="21" x14ac:dyDescent="0.35">
      <c r="A51" s="70" t="s">
        <v>43</v>
      </c>
      <c r="B51" s="71"/>
      <c r="C51" s="71"/>
      <c r="D51" s="71"/>
      <c r="E51" s="71"/>
      <c r="F51" s="72"/>
    </row>
    <row r="52" spans="1:8" x14ac:dyDescent="0.25">
      <c r="A52" s="80"/>
      <c r="B52" s="80"/>
      <c r="C52" s="80"/>
      <c r="D52" s="80"/>
      <c r="E52" s="80"/>
      <c r="F52" s="80"/>
      <c r="G52" s="80"/>
    </row>
    <row r="53" spans="1:8" x14ac:dyDescent="0.25">
      <c r="A53" s="60" t="s">
        <v>44</v>
      </c>
      <c r="B53" s="60"/>
      <c r="C53" s="60"/>
      <c r="D53" s="60"/>
      <c r="E53" s="60"/>
      <c r="F53" s="60"/>
    </row>
    <row r="54" spans="1:8" x14ac:dyDescent="0.25">
      <c r="A54" s="65" t="s">
        <v>45</v>
      </c>
      <c r="B54" s="65"/>
      <c r="C54" s="65"/>
      <c r="D54" s="65"/>
      <c r="E54" s="65"/>
      <c r="F54" s="65"/>
    </row>
    <row r="55" spans="1:8" x14ac:dyDescent="0.25">
      <c r="A55" s="14" t="s">
        <v>46</v>
      </c>
      <c r="B55" s="12">
        <v>101962</v>
      </c>
      <c r="C55" s="12">
        <v>5187</v>
      </c>
      <c r="D55" s="12">
        <v>764</v>
      </c>
      <c r="E55" s="12">
        <v>3951</v>
      </c>
      <c r="F55" s="27">
        <f t="shared" ref="F55:F71" si="0">SUM(B55:E55)</f>
        <v>111864</v>
      </c>
    </row>
    <row r="56" spans="1:8" x14ac:dyDescent="0.25">
      <c r="A56" s="14" t="s">
        <v>47</v>
      </c>
      <c r="B56" s="12">
        <v>58323.210720000003</v>
      </c>
      <c r="C56" s="12">
        <v>7146.6286470000096</v>
      </c>
      <c r="D56" s="12">
        <v>1406</v>
      </c>
      <c r="E56" s="12">
        <v>9873</v>
      </c>
      <c r="F56" s="27">
        <f t="shared" si="0"/>
        <v>76748.839367000008</v>
      </c>
    </row>
    <row r="57" spans="1:8" x14ac:dyDescent="0.25">
      <c r="A57" s="14" t="s">
        <v>48</v>
      </c>
      <c r="B57" s="12">
        <v>11.956856475942001</v>
      </c>
      <c r="C57" s="12">
        <v>38</v>
      </c>
      <c r="D57" s="12">
        <v>21</v>
      </c>
      <c r="E57" s="12">
        <v>30</v>
      </c>
      <c r="F57" s="27">
        <f>AVERAGE(B57:E57)</f>
        <v>25.239214118985501</v>
      </c>
    </row>
    <row r="58" spans="1:8" x14ac:dyDescent="0.25">
      <c r="A58" s="14" t="s">
        <v>49</v>
      </c>
      <c r="B58" s="12">
        <v>820299</v>
      </c>
      <c r="C58" s="12">
        <v>148260</v>
      </c>
      <c r="D58" s="12">
        <v>52432</v>
      </c>
      <c r="E58" s="12">
        <v>80014</v>
      </c>
      <c r="F58" s="27">
        <f t="shared" si="0"/>
        <v>1101005</v>
      </c>
    </row>
    <row r="59" spans="1:8" x14ac:dyDescent="0.25">
      <c r="A59" s="14" t="s">
        <v>50</v>
      </c>
      <c r="B59" s="12">
        <v>1810082.816047</v>
      </c>
      <c r="C59" s="12">
        <v>264068.65640400001</v>
      </c>
      <c r="D59" s="12">
        <v>109832.09079</v>
      </c>
      <c r="E59" s="12">
        <v>187747</v>
      </c>
      <c r="F59" s="11">
        <f t="shared" si="0"/>
        <v>2371730.5632409998</v>
      </c>
    </row>
    <row r="60" spans="1:8" x14ac:dyDescent="0.25">
      <c r="A60" s="65" t="s">
        <v>51</v>
      </c>
      <c r="B60" s="65"/>
      <c r="C60" s="65"/>
      <c r="D60" s="65"/>
      <c r="E60" s="65"/>
      <c r="F60" s="65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65" t="s">
        <v>52</v>
      </c>
      <c r="B66" s="65"/>
      <c r="C66" s="65"/>
      <c r="D66" s="65"/>
      <c r="E66" s="65"/>
      <c r="F66" s="65"/>
    </row>
    <row r="67" spans="1:7" x14ac:dyDescent="0.25">
      <c r="A67" s="14" t="s">
        <v>46</v>
      </c>
      <c r="B67" s="12">
        <v>5596</v>
      </c>
      <c r="C67" s="12">
        <v>1564</v>
      </c>
      <c r="D67" s="12">
        <v>898</v>
      </c>
      <c r="E67" s="12">
        <v>11634</v>
      </c>
      <c r="F67" s="27">
        <f t="shared" si="0"/>
        <v>19692</v>
      </c>
    </row>
    <row r="68" spans="1:7" x14ac:dyDescent="0.25">
      <c r="A68" s="14" t="s">
        <v>47</v>
      </c>
      <c r="B68" s="12">
        <v>4467.8539860000001</v>
      </c>
      <c r="C68" s="12">
        <v>1570.2594690000001</v>
      </c>
      <c r="D68" s="12">
        <v>892</v>
      </c>
      <c r="E68" s="12">
        <v>15457</v>
      </c>
      <c r="F68" s="27">
        <f t="shared" si="0"/>
        <v>22387.113454999999</v>
      </c>
    </row>
    <row r="69" spans="1:7" x14ac:dyDescent="0.25">
      <c r="A69" s="14" t="s">
        <v>48</v>
      </c>
      <c r="B69" s="12">
        <v>37.280557541100798</v>
      </c>
      <c r="C69" s="12">
        <v>54</v>
      </c>
      <c r="D69" s="12">
        <v>49</v>
      </c>
      <c r="E69" s="12">
        <v>39</v>
      </c>
      <c r="F69" s="27">
        <f>AVERAGE(B69:E69)</f>
        <v>44.820139385275198</v>
      </c>
    </row>
    <row r="70" spans="1:7" x14ac:dyDescent="0.25">
      <c r="A70" s="14" t="s">
        <v>49</v>
      </c>
      <c r="B70" s="12">
        <v>137438</v>
      </c>
      <c r="C70" s="12">
        <v>87867</v>
      </c>
      <c r="D70" s="12">
        <v>64853</v>
      </c>
      <c r="E70" s="12">
        <v>273248</v>
      </c>
      <c r="F70" s="27">
        <f t="shared" si="0"/>
        <v>563406</v>
      </c>
    </row>
    <row r="71" spans="1:7" x14ac:dyDescent="0.25">
      <c r="A71" s="14" t="s">
        <v>50</v>
      </c>
      <c r="B71" s="12">
        <v>142921.910771</v>
      </c>
      <c r="C71" s="12">
        <v>103708.666782</v>
      </c>
      <c r="D71" s="12">
        <v>67801.371356999996</v>
      </c>
      <c r="E71" s="12">
        <v>254954</v>
      </c>
      <c r="F71" s="11">
        <f t="shared" si="0"/>
        <v>569385.94891000004</v>
      </c>
    </row>
    <row r="72" spans="1:7" x14ac:dyDescent="0.25">
      <c r="A72" s="74" t="s">
        <v>53</v>
      </c>
      <c r="B72" s="75"/>
      <c r="C72" s="75"/>
      <c r="D72" s="75"/>
      <c r="E72" s="75"/>
      <c r="F72" s="76"/>
    </row>
    <row r="73" spans="1:7" x14ac:dyDescent="0.25">
      <c r="A73" s="18" t="s">
        <v>54</v>
      </c>
      <c r="B73" s="19">
        <f>+B55+B67</f>
        <v>107558</v>
      </c>
      <c r="C73" s="19">
        <v>6751</v>
      </c>
      <c r="D73" s="19">
        <v>1662</v>
      </c>
      <c r="E73" s="19">
        <v>15585</v>
      </c>
      <c r="F73" s="19">
        <f>SUM(B73:E73)</f>
        <v>131556</v>
      </c>
    </row>
    <row r="74" spans="1:7" x14ac:dyDescent="0.25">
      <c r="A74" s="18" t="s">
        <v>47</v>
      </c>
      <c r="B74" s="19">
        <f>+B56+B68</f>
        <v>62791.064706000005</v>
      </c>
      <c r="C74" s="19">
        <v>8716.8881160000092</v>
      </c>
      <c r="D74" s="19">
        <v>2298</v>
      </c>
      <c r="E74" s="19">
        <v>25330</v>
      </c>
      <c r="F74" s="22">
        <f>SUM(B74:E74)</f>
        <v>99135.952822000021</v>
      </c>
    </row>
    <row r="75" spans="1:7" x14ac:dyDescent="0.25">
      <c r="A75" s="18" t="s">
        <v>48</v>
      </c>
      <c r="B75" s="19">
        <v>13.2743914911025</v>
      </c>
      <c r="C75" s="19">
        <v>30.666666666666668</v>
      </c>
      <c r="D75" s="19">
        <v>0</v>
      </c>
      <c r="E75" s="19">
        <v>34.5</v>
      </c>
      <c r="F75" s="19">
        <f>AVERAGE(B75:E75)</f>
        <v>19.610264539442291</v>
      </c>
    </row>
    <row r="76" spans="1:7" x14ac:dyDescent="0.25">
      <c r="A76" s="18" t="s">
        <v>49</v>
      </c>
      <c r="B76" s="19">
        <f>+B58+B70</f>
        <v>957737</v>
      </c>
      <c r="C76" s="19">
        <v>236127</v>
      </c>
      <c r="D76" s="19">
        <v>117285</v>
      </c>
      <c r="E76" s="19">
        <v>353262</v>
      </c>
      <c r="F76" s="19">
        <f>SUM(B76:E76)</f>
        <v>1664411</v>
      </c>
    </row>
    <row r="77" spans="1:7" x14ac:dyDescent="0.25">
      <c r="A77" s="18" t="s">
        <v>50</v>
      </c>
      <c r="B77" s="19">
        <f>+B59+B71</f>
        <v>1953004.726818</v>
      </c>
      <c r="C77" s="19">
        <v>367777.32318599999</v>
      </c>
      <c r="D77" s="19">
        <v>177633.46214700001</v>
      </c>
      <c r="E77" s="19">
        <v>442701</v>
      </c>
      <c r="F77" s="22">
        <f>SUM(B77:E77)</f>
        <v>2941116.5121510001</v>
      </c>
    </row>
    <row r="78" spans="1:7" x14ac:dyDescent="0.25">
      <c r="A78" s="61"/>
      <c r="B78" s="61"/>
      <c r="C78" s="61"/>
      <c r="D78" s="61"/>
      <c r="E78" s="61"/>
      <c r="F78" s="61"/>
      <c r="G78" s="61"/>
    </row>
    <row r="79" spans="1:7" x14ac:dyDescent="0.25">
      <c r="A79" s="66" t="s">
        <v>55</v>
      </c>
      <c r="B79" s="67"/>
      <c r="C79" s="67"/>
      <c r="D79" s="67"/>
      <c r="E79" s="67"/>
      <c r="F79" s="68"/>
    </row>
    <row r="80" spans="1:7" x14ac:dyDescent="0.25">
      <c r="A80" s="62" t="s">
        <v>45</v>
      </c>
      <c r="B80" s="63"/>
      <c r="C80" s="63"/>
      <c r="D80" s="63"/>
      <c r="E80" s="63"/>
      <c r="F80" s="64"/>
    </row>
    <row r="81" spans="1:6" x14ac:dyDescent="0.25">
      <c r="A81" s="14" t="s">
        <v>46</v>
      </c>
      <c r="B81" s="24">
        <v>0</v>
      </c>
      <c r="C81" s="24">
        <v>0</v>
      </c>
      <c r="D81" s="2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4">
        <v>0</v>
      </c>
      <c r="D82" s="2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4">
        <v>0</v>
      </c>
      <c r="D83" s="2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1001</v>
      </c>
      <c r="C84" s="24">
        <v>116</v>
      </c>
      <c r="D84" s="24">
        <v>6</v>
      </c>
      <c r="E84" s="24">
        <v>95</v>
      </c>
      <c r="F84" s="24">
        <f>SUM(B84:E84)</f>
        <v>1218</v>
      </c>
    </row>
    <row r="85" spans="1:6" x14ac:dyDescent="0.25">
      <c r="A85" s="14" t="s">
        <v>50</v>
      </c>
      <c r="B85" s="24">
        <v>21543.259276000001</v>
      </c>
      <c r="C85" s="24">
        <v>1453</v>
      </c>
      <c r="D85" s="24">
        <v>76</v>
      </c>
      <c r="E85" s="27">
        <v>1724.8873470000001</v>
      </c>
      <c r="F85" s="11">
        <f>SUM(B85:E85)</f>
        <v>24797.146623000001</v>
      </c>
    </row>
    <row r="86" spans="1:6" x14ac:dyDescent="0.25">
      <c r="A86" s="62" t="s">
        <v>51</v>
      </c>
      <c r="B86" s="63"/>
      <c r="C86" s="63"/>
      <c r="D86" s="63"/>
      <c r="E86" s="63"/>
      <c r="F86" s="64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62" t="s">
        <v>52</v>
      </c>
      <c r="B92" s="63"/>
      <c r="C92" s="63"/>
      <c r="D92" s="63"/>
      <c r="E92" s="63"/>
      <c r="F92" s="64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0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174.91549800000001</v>
      </c>
      <c r="C97" s="20">
        <v>0</v>
      </c>
      <c r="D97" s="20">
        <v>0</v>
      </c>
      <c r="E97" s="24">
        <v>79.638054999999994</v>
      </c>
      <c r="F97" s="11">
        <f>SUM(B97:E97)</f>
        <v>254.55355300000002</v>
      </c>
    </row>
    <row r="98" spans="1:7" x14ac:dyDescent="0.25">
      <c r="A98" s="74" t="s">
        <v>56</v>
      </c>
      <c r="B98" s="75"/>
      <c r="C98" s="75"/>
      <c r="D98" s="75"/>
      <c r="E98" s="75"/>
      <c r="F98" s="76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3">
        <f>+B96+B84</f>
        <v>1011</v>
      </c>
      <c r="C102" s="43">
        <f t="shared" ref="C102:C103" si="1">+C96+C90+C84</f>
        <v>116</v>
      </c>
      <c r="D102" s="43">
        <f>+D84</f>
        <v>6</v>
      </c>
      <c r="E102" s="45">
        <f>+E96+E84</f>
        <v>101</v>
      </c>
      <c r="F102" s="19">
        <f>SUM(B102:E102)</f>
        <v>1234</v>
      </c>
    </row>
    <row r="103" spans="1:7" x14ac:dyDescent="0.25">
      <c r="A103" s="18" t="s">
        <v>50</v>
      </c>
      <c r="B103" s="43">
        <f>+B97+B85</f>
        <v>21718.174773999999</v>
      </c>
      <c r="C103" s="43">
        <f t="shared" si="1"/>
        <v>1453</v>
      </c>
      <c r="D103" s="43">
        <f>+D85</f>
        <v>76</v>
      </c>
      <c r="E103" s="43">
        <f>+E85+E97</f>
        <v>1804.525402</v>
      </c>
      <c r="F103" s="22">
        <f>SUM(B103:E103)</f>
        <v>25051.700175999998</v>
      </c>
    </row>
    <row r="104" spans="1:7" x14ac:dyDescent="0.25">
      <c r="A104" s="61"/>
      <c r="B104" s="61"/>
      <c r="C104" s="61"/>
      <c r="D104" s="61"/>
      <c r="E104" s="61"/>
      <c r="F104" s="61"/>
      <c r="G104" s="61"/>
    </row>
    <row r="105" spans="1:7" x14ac:dyDescent="0.25">
      <c r="A105" s="60" t="s">
        <v>57</v>
      </c>
      <c r="B105" s="60"/>
      <c r="C105" s="60"/>
      <c r="D105" s="60"/>
      <c r="E105" s="60"/>
      <c r="F105" s="60"/>
    </row>
    <row r="106" spans="1:7" x14ac:dyDescent="0.25">
      <c r="A106" s="65" t="s">
        <v>58</v>
      </c>
      <c r="B106" s="65"/>
      <c r="C106" s="65"/>
      <c r="D106" s="65"/>
      <c r="E106" s="65"/>
      <c r="F106" s="65"/>
    </row>
    <row r="107" spans="1:7" x14ac:dyDescent="0.25">
      <c r="A107" s="14" t="s">
        <v>59</v>
      </c>
      <c r="B107" s="13">
        <v>2.8362049577748851</v>
      </c>
      <c r="C107" s="13">
        <v>2.5499999999999998</v>
      </c>
      <c r="D107" s="13">
        <v>2.77</v>
      </c>
      <c r="E107" s="13">
        <v>2.54</v>
      </c>
      <c r="F107" s="13">
        <f>AVERAGE(B107:E107)</f>
        <v>2.6740512394437213</v>
      </c>
    </row>
    <row r="108" spans="1:7" x14ac:dyDescent="0.25">
      <c r="A108" s="14" t="s">
        <v>60</v>
      </c>
      <c r="B108" s="13">
        <v>2.3225070475474023</v>
      </c>
      <c r="C108" s="13">
        <v>2.65</v>
      </c>
      <c r="D108" s="13">
        <v>2.83</v>
      </c>
      <c r="E108" s="13">
        <v>2.66</v>
      </c>
      <c r="F108" s="13">
        <f>AVERAGE(B108:E108)</f>
        <v>2.6156267618868507</v>
      </c>
    </row>
    <row r="109" spans="1:7" x14ac:dyDescent="0.25">
      <c r="A109" s="14" t="s">
        <v>61</v>
      </c>
      <c r="B109" s="13">
        <v>2.044228744564677</v>
      </c>
      <c r="C109" s="13">
        <v>2.65</v>
      </c>
      <c r="D109" s="13">
        <v>2.94</v>
      </c>
      <c r="E109" s="13">
        <v>2.65</v>
      </c>
      <c r="F109" s="13">
        <f>AVERAGE(B109:E109)</f>
        <v>2.5710571861411693</v>
      </c>
    </row>
    <row r="110" spans="1:7" x14ac:dyDescent="0.25">
      <c r="A110" s="65" t="s">
        <v>62</v>
      </c>
      <c r="B110" s="65"/>
      <c r="C110" s="65"/>
      <c r="D110" s="65"/>
      <c r="E110" s="65"/>
      <c r="F110" s="65"/>
    </row>
    <row r="111" spans="1:7" x14ac:dyDescent="0.25">
      <c r="A111" s="14" t="s">
        <v>59</v>
      </c>
      <c r="B111" s="13">
        <v>1.7999999999999987</v>
      </c>
      <c r="C111" s="13">
        <v>1.95</v>
      </c>
      <c r="D111" s="30">
        <v>1.6</v>
      </c>
      <c r="E111" s="13">
        <v>1.7999999999999987</v>
      </c>
      <c r="F111" s="13">
        <f>AVERAGE(B111:E111)</f>
        <v>1.7874999999999994</v>
      </c>
    </row>
    <row r="112" spans="1:7" x14ac:dyDescent="0.25">
      <c r="A112" s="14" t="s">
        <v>60</v>
      </c>
      <c r="B112" s="13">
        <v>2.0999999999999974</v>
      </c>
      <c r="C112" s="13">
        <v>2.16</v>
      </c>
      <c r="D112" s="30">
        <v>2.1</v>
      </c>
      <c r="E112" s="13">
        <v>2.16</v>
      </c>
      <c r="F112" s="13">
        <f>AVERAGE(B112:E112)</f>
        <v>2.1299999999999994</v>
      </c>
    </row>
    <row r="113" spans="1:8" x14ac:dyDescent="0.25">
      <c r="A113" s="14" t="s">
        <v>61</v>
      </c>
      <c r="B113" s="13">
        <v>2.0855929203539838</v>
      </c>
      <c r="C113" s="13">
        <v>2.16</v>
      </c>
      <c r="D113" s="30">
        <v>2.6</v>
      </c>
      <c r="E113" s="13">
        <v>2.16</v>
      </c>
      <c r="F113" s="13">
        <f>AVERAGE(B113:E113)</f>
        <v>2.2513982300884958</v>
      </c>
    </row>
    <row r="114" spans="1:8" x14ac:dyDescent="0.25">
      <c r="A114" s="61"/>
      <c r="B114" s="61"/>
      <c r="C114" s="61"/>
      <c r="D114" s="61"/>
      <c r="E114" s="61"/>
      <c r="F114" s="61"/>
      <c r="G114" s="61"/>
      <c r="H114" s="61"/>
    </row>
    <row r="115" spans="1:8" x14ac:dyDescent="0.25">
      <c r="A115" s="65" t="s">
        <v>63</v>
      </c>
      <c r="B115" s="65"/>
      <c r="C115" s="65"/>
      <c r="D115" s="65"/>
      <c r="E115" s="65"/>
      <c r="F115" s="65"/>
    </row>
    <row r="116" spans="1:8" x14ac:dyDescent="0.25">
      <c r="A116" s="14" t="s">
        <v>59</v>
      </c>
      <c r="B116" s="13">
        <v>1.5028790915163595</v>
      </c>
      <c r="C116" s="13">
        <v>1.79</v>
      </c>
      <c r="D116" s="31">
        <v>1.9342592592592593</v>
      </c>
      <c r="E116" s="13">
        <v>1.78</v>
      </c>
      <c r="F116" s="13">
        <f>AVERAGE(B116:E116)</f>
        <v>1.7517845876939047</v>
      </c>
    </row>
    <row r="117" spans="1:8" x14ac:dyDescent="0.25">
      <c r="A117" s="14" t="s">
        <v>60</v>
      </c>
      <c r="B117" s="13">
        <v>1.7573760330578851</v>
      </c>
      <c r="C117" s="13">
        <v>1.79</v>
      </c>
      <c r="D117" s="31">
        <v>1.9318987341772151</v>
      </c>
      <c r="E117" s="13">
        <v>1.78</v>
      </c>
      <c r="F117" s="13">
        <f>AVERAGE(B117:E117)</f>
        <v>1.8148186918087752</v>
      </c>
    </row>
    <row r="118" spans="1:8" x14ac:dyDescent="0.25">
      <c r="A118" s="14" t="s">
        <v>61</v>
      </c>
      <c r="B118" s="13">
        <v>1.7572938262195386</v>
      </c>
      <c r="C118" s="13">
        <v>1.74</v>
      </c>
      <c r="D118" s="31">
        <v>2.2647120055517003</v>
      </c>
      <c r="E118" s="13">
        <v>1.99</v>
      </c>
      <c r="F118" s="13">
        <f>AVERAGE(B118:E118)</f>
        <v>1.9380014579428098</v>
      </c>
    </row>
    <row r="119" spans="1:8" x14ac:dyDescent="0.25">
      <c r="A119" s="62" t="s">
        <v>64</v>
      </c>
      <c r="B119" s="63"/>
      <c r="C119" s="63"/>
      <c r="D119" s="63"/>
      <c r="E119" s="63"/>
      <c r="F119" s="64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1.95</v>
      </c>
      <c r="E122" s="13">
        <v>1.74</v>
      </c>
      <c r="F122" s="13">
        <f>AVERAGE(B122:E122)</f>
        <v>1.6375</v>
      </c>
    </row>
    <row r="123" spans="1:8" x14ac:dyDescent="0.25">
      <c r="A123" s="61"/>
      <c r="B123" s="61"/>
      <c r="C123" s="61"/>
      <c r="D123" s="61"/>
      <c r="E123" s="61"/>
      <c r="F123" s="61"/>
      <c r="G123" s="61"/>
    </row>
    <row r="124" spans="1:8" x14ac:dyDescent="0.25">
      <c r="A124" s="66" t="s">
        <v>65</v>
      </c>
      <c r="B124" s="67"/>
      <c r="C124" s="67"/>
      <c r="D124" s="67"/>
      <c r="E124" s="67"/>
      <c r="F124" s="68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6" t="s">
        <v>67</v>
      </c>
      <c r="B126" s="67"/>
      <c r="C126" s="67"/>
      <c r="D126" s="67"/>
      <c r="E126" s="67"/>
      <c r="F126" s="68"/>
    </row>
    <row r="127" spans="1:8" x14ac:dyDescent="0.25">
      <c r="A127" s="3" t="s">
        <v>68</v>
      </c>
      <c r="B127" s="31">
        <v>1.94</v>
      </c>
      <c r="C127" s="37">
        <v>2.0822219999999998</v>
      </c>
      <c r="D127" s="33">
        <v>2.3149865059948325</v>
      </c>
      <c r="E127" s="4">
        <v>0</v>
      </c>
      <c r="F127" s="11">
        <f>AVERAGE(B127:D127)</f>
        <v>2.1124028353316109</v>
      </c>
    </row>
    <row r="128" spans="1:8" x14ac:dyDescent="0.25">
      <c r="A128" s="73"/>
      <c r="B128" s="73"/>
      <c r="C128" s="73"/>
      <c r="D128" s="73"/>
      <c r="E128" s="73"/>
      <c r="F128" s="73"/>
      <c r="G128" s="73"/>
    </row>
    <row r="129" spans="1:8" x14ac:dyDescent="0.25">
      <c r="A129" s="60" t="s">
        <v>69</v>
      </c>
      <c r="B129" s="60"/>
      <c r="C129" s="60"/>
      <c r="D129" s="60"/>
      <c r="E129" s="60"/>
      <c r="F129" s="60"/>
    </row>
    <row r="130" spans="1:8" x14ac:dyDescent="0.25">
      <c r="A130" s="14" t="s">
        <v>70</v>
      </c>
      <c r="B130" s="27">
        <v>238834</v>
      </c>
      <c r="C130" s="27">
        <v>3447</v>
      </c>
      <c r="D130" s="27">
        <v>8551</v>
      </c>
      <c r="E130" s="27">
        <v>774</v>
      </c>
      <c r="F130" s="27">
        <f>SUM(B130:E130)</f>
        <v>251606</v>
      </c>
    </row>
    <row r="131" spans="1:8" x14ac:dyDescent="0.25">
      <c r="A131" s="14" t="s">
        <v>71</v>
      </c>
      <c r="B131" s="27">
        <v>156573.03055600001</v>
      </c>
      <c r="C131" s="27">
        <v>3739</v>
      </c>
      <c r="D131" s="27">
        <v>997</v>
      </c>
      <c r="E131" s="27">
        <v>736.63801999999998</v>
      </c>
      <c r="F131" s="11">
        <f>SUM(B131:E131)</f>
        <v>162045.66857600003</v>
      </c>
    </row>
    <row r="132" spans="1:8" x14ac:dyDescent="0.25">
      <c r="A132" s="61"/>
      <c r="B132" s="61"/>
      <c r="C132" s="61"/>
      <c r="D132" s="61"/>
      <c r="E132" s="61"/>
      <c r="F132" s="61"/>
      <c r="G132" s="61"/>
    </row>
    <row r="133" spans="1:8" x14ac:dyDescent="0.25">
      <c r="A133" s="60" t="s">
        <v>72</v>
      </c>
      <c r="B133" s="60"/>
      <c r="C133" s="60"/>
      <c r="D133" s="60"/>
      <c r="E133" s="60"/>
      <c r="F133" s="60"/>
    </row>
    <row r="134" spans="1:8" x14ac:dyDescent="0.25">
      <c r="A134" s="14" t="s">
        <v>73</v>
      </c>
      <c r="B134" s="27">
        <v>771342</v>
      </c>
      <c r="C134" s="27">
        <v>382150</v>
      </c>
      <c r="D134" s="27">
        <v>136109</v>
      </c>
      <c r="E134" s="27">
        <v>290470</v>
      </c>
      <c r="F134" s="27">
        <f>SUM(B134:E134)</f>
        <v>1580071</v>
      </c>
    </row>
    <row r="135" spans="1:8" x14ac:dyDescent="0.25">
      <c r="A135" s="61"/>
      <c r="B135" s="61"/>
      <c r="C135" s="61"/>
      <c r="D135" s="61"/>
      <c r="E135" s="61"/>
      <c r="F135" s="61"/>
      <c r="G135" s="61"/>
    </row>
    <row r="136" spans="1:8" ht="21" x14ac:dyDescent="0.35">
      <c r="A136" s="69" t="s">
        <v>74</v>
      </c>
      <c r="B136" s="69"/>
      <c r="C136" s="69"/>
      <c r="D136" s="69"/>
      <c r="E136" s="69"/>
      <c r="F136" s="69"/>
    </row>
    <row r="137" spans="1:8" x14ac:dyDescent="0.25">
      <c r="A137" s="60" t="s">
        <v>75</v>
      </c>
      <c r="B137" s="60"/>
      <c r="C137" s="60"/>
      <c r="D137" s="60"/>
      <c r="E137" s="60"/>
      <c r="F137" s="60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15415</v>
      </c>
      <c r="F138" s="27">
        <f>SUM(B138:E138)</f>
        <v>15415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180</v>
      </c>
      <c r="F139" s="27">
        <f>SUM(B139:E139)</f>
        <v>180</v>
      </c>
      <c r="G139" s="7"/>
      <c r="H139" s="7"/>
    </row>
    <row r="140" spans="1:8" x14ac:dyDescent="0.25">
      <c r="A140" s="61"/>
      <c r="B140" s="61"/>
      <c r="C140" s="61"/>
      <c r="D140" s="61"/>
      <c r="E140" s="61"/>
      <c r="F140" s="61"/>
      <c r="G140" s="61"/>
      <c r="H140" s="7"/>
    </row>
    <row r="141" spans="1:8" x14ac:dyDescent="0.25">
      <c r="A141" s="61"/>
      <c r="B141" s="61"/>
      <c r="C141" s="61"/>
      <c r="D141" s="61"/>
      <c r="E141" s="61"/>
      <c r="F141" s="61"/>
      <c r="G141" s="61"/>
    </row>
    <row r="142" spans="1:8" ht="21" x14ac:dyDescent="0.35">
      <c r="A142" s="70" t="s">
        <v>78</v>
      </c>
      <c r="B142" s="71"/>
      <c r="C142" s="71"/>
      <c r="D142" s="71"/>
      <c r="E142" s="71"/>
      <c r="F142" s="72"/>
    </row>
    <row r="143" spans="1:8" x14ac:dyDescent="0.25">
      <c r="A143" s="66" t="s">
        <v>79</v>
      </c>
      <c r="B143" s="67"/>
      <c r="C143" s="67"/>
      <c r="D143" s="67"/>
      <c r="E143" s="67"/>
      <c r="F143" s="68"/>
    </row>
    <row r="144" spans="1:8" x14ac:dyDescent="0.25">
      <c r="A144" s="61"/>
      <c r="B144" s="61"/>
      <c r="C144" s="61"/>
      <c r="D144" s="61"/>
      <c r="E144" s="61"/>
      <c r="F144" s="61"/>
      <c r="G144" s="61"/>
    </row>
    <row r="145" spans="1:7" x14ac:dyDescent="0.25">
      <c r="A145" s="65" t="s">
        <v>80</v>
      </c>
      <c r="B145" s="65"/>
      <c r="C145" s="65"/>
      <c r="D145" s="65"/>
      <c r="E145" s="65"/>
      <c r="F145" s="65"/>
    </row>
    <row r="146" spans="1:7" x14ac:dyDescent="0.25">
      <c r="A146" s="14" t="s">
        <v>81</v>
      </c>
      <c r="B146" s="27">
        <v>0</v>
      </c>
      <c r="C146" s="27">
        <v>9784</v>
      </c>
      <c r="D146" s="27"/>
      <c r="E146" s="27">
        <v>2722</v>
      </c>
      <c r="F146" s="27">
        <f>SUM(B146:E146)</f>
        <v>12506</v>
      </c>
    </row>
    <row r="147" spans="1:7" x14ac:dyDescent="0.25">
      <c r="A147" s="14" t="s">
        <v>82</v>
      </c>
      <c r="B147" s="27">
        <v>0</v>
      </c>
      <c r="C147" s="27">
        <v>226.25200000000001</v>
      </c>
      <c r="D147" s="27"/>
      <c r="E147" s="29">
        <v>30.095749999999999</v>
      </c>
      <c r="F147" s="11">
        <f>SUM(B147:E147)</f>
        <v>256.34775000000002</v>
      </c>
    </row>
    <row r="148" spans="1:7" x14ac:dyDescent="0.25">
      <c r="A148" s="61"/>
      <c r="B148" s="61"/>
      <c r="C148" s="61"/>
      <c r="D148" s="61"/>
      <c r="E148" s="61"/>
      <c r="F148" s="61"/>
      <c r="G148" s="61"/>
    </row>
    <row r="149" spans="1:7" x14ac:dyDescent="0.25">
      <c r="A149" s="65" t="s">
        <v>83</v>
      </c>
      <c r="B149" s="65"/>
      <c r="C149" s="65"/>
      <c r="D149" s="65"/>
      <c r="E149" s="65"/>
      <c r="F149" s="65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1"/>
      <c r="B152" s="61"/>
      <c r="C152" s="61"/>
      <c r="D152" s="61"/>
      <c r="E152" s="61"/>
      <c r="F152" s="61"/>
      <c r="G152" s="61"/>
    </row>
    <row r="153" spans="1:7" x14ac:dyDescent="0.25">
      <c r="A153" s="65" t="s">
        <v>86</v>
      </c>
      <c r="B153" s="65"/>
      <c r="C153" s="65"/>
      <c r="D153" s="65"/>
      <c r="E153" s="65"/>
      <c r="F153" s="65"/>
    </row>
    <row r="154" spans="1:7" x14ac:dyDescent="0.25">
      <c r="A154" s="14" t="s">
        <v>87</v>
      </c>
      <c r="B154" s="14">
        <v>0</v>
      </c>
      <c r="C154" s="27">
        <v>59</v>
      </c>
      <c r="D154" s="35">
        <v>0</v>
      </c>
      <c r="E154" s="34">
        <v>0</v>
      </c>
      <c r="F154" s="27">
        <f>SUM(B154:E154)</f>
        <v>59</v>
      </c>
      <c r="G154"/>
    </row>
    <row r="155" spans="1:7" x14ac:dyDescent="0.25">
      <c r="A155" s="14" t="s">
        <v>88</v>
      </c>
      <c r="B155" s="11">
        <v>0</v>
      </c>
      <c r="C155" s="27">
        <v>0.75</v>
      </c>
      <c r="D155" s="35">
        <v>0</v>
      </c>
      <c r="E155" s="34">
        <v>0</v>
      </c>
      <c r="F155" s="11">
        <f>SUM(B155:E155)</f>
        <v>0.75</v>
      </c>
      <c r="G155"/>
    </row>
    <row r="156" spans="1:7" x14ac:dyDescent="0.25">
      <c r="A156" s="61"/>
      <c r="B156" s="61"/>
      <c r="C156" s="61"/>
      <c r="D156" s="61"/>
      <c r="E156" s="61"/>
      <c r="F156" s="61"/>
      <c r="G156" s="61"/>
    </row>
    <row r="157" spans="1:7" x14ac:dyDescent="0.25">
      <c r="A157" s="62" t="s">
        <v>89</v>
      </c>
      <c r="B157" s="63"/>
      <c r="C157" s="63"/>
      <c r="D157" s="63"/>
      <c r="E157" s="63"/>
      <c r="F157" s="64"/>
    </row>
    <row r="158" spans="1:7" x14ac:dyDescent="0.25">
      <c r="A158" s="18" t="s">
        <v>90</v>
      </c>
      <c r="B158" s="19">
        <v>0</v>
      </c>
      <c r="C158" s="19">
        <v>9843</v>
      </c>
      <c r="D158" s="19">
        <v>0</v>
      </c>
      <c r="E158" s="19">
        <f>E146+E154</f>
        <v>2722</v>
      </c>
      <c r="F158" s="19">
        <f>SUM(B158:E158)</f>
        <v>12565</v>
      </c>
    </row>
    <row r="159" spans="1:7" x14ac:dyDescent="0.25">
      <c r="A159" s="18" t="s">
        <v>91</v>
      </c>
      <c r="B159" s="19">
        <v>0</v>
      </c>
      <c r="C159" s="19">
        <v>227.00200000000001</v>
      </c>
      <c r="D159" s="19">
        <v>0</v>
      </c>
      <c r="E159" s="19">
        <f>E147+E155</f>
        <v>30.095749999999999</v>
      </c>
      <c r="F159" s="22">
        <f>SUM(B159:E159)</f>
        <v>257.09775000000002</v>
      </c>
    </row>
    <row r="160" spans="1:7" x14ac:dyDescent="0.25">
      <c r="A160" s="61"/>
      <c r="B160" s="61"/>
      <c r="C160" s="61"/>
      <c r="D160" s="61"/>
      <c r="E160" s="61"/>
      <c r="F160" s="61"/>
      <c r="G160" s="61"/>
    </row>
    <row r="161" spans="1:7" x14ac:dyDescent="0.25">
      <c r="A161" s="60" t="s">
        <v>92</v>
      </c>
      <c r="B161" s="60"/>
      <c r="C161" s="60"/>
      <c r="D161" s="60"/>
      <c r="E161" s="60"/>
      <c r="F161" s="60"/>
    </row>
    <row r="162" spans="1:7" x14ac:dyDescent="0.25">
      <c r="A162" s="14" t="s">
        <v>87</v>
      </c>
      <c r="B162" s="27">
        <v>2891</v>
      </c>
      <c r="C162" s="27">
        <v>35326</v>
      </c>
      <c r="D162" s="27">
        <v>4111</v>
      </c>
      <c r="E162" s="27">
        <v>25107</v>
      </c>
      <c r="F162" s="27">
        <f>SUM(B162:E162)</f>
        <v>67435</v>
      </c>
    </row>
    <row r="163" spans="1:7" x14ac:dyDescent="0.25">
      <c r="A163" s="14" t="s">
        <v>88</v>
      </c>
      <c r="B163" s="27">
        <f>67858880/1000000</f>
        <v>67.858879999999999</v>
      </c>
      <c r="C163" s="27">
        <v>216.93165299999998</v>
      </c>
      <c r="D163" s="27">
        <v>76</v>
      </c>
      <c r="E163" s="27">
        <v>161.54263399999999</v>
      </c>
      <c r="F163" s="11">
        <f>SUM(B163:E163)</f>
        <v>522.333167</v>
      </c>
    </row>
    <row r="164" spans="1:7" x14ac:dyDescent="0.25">
      <c r="A164" s="61"/>
      <c r="B164" s="61"/>
      <c r="C164" s="61"/>
      <c r="D164" s="61"/>
      <c r="E164" s="61"/>
      <c r="F164" s="61"/>
    </row>
    <row r="165" spans="1:7" x14ac:dyDescent="0.25">
      <c r="A165" s="66" t="s">
        <v>93</v>
      </c>
      <c r="B165" s="67"/>
      <c r="C165" s="67"/>
      <c r="D165" s="67"/>
      <c r="E165" s="67"/>
      <c r="F165" s="68"/>
    </row>
    <row r="166" spans="1:7" x14ac:dyDescent="0.25">
      <c r="A166" s="62" t="s">
        <v>94</v>
      </c>
      <c r="B166" s="63"/>
      <c r="C166" s="63"/>
      <c r="D166" s="63"/>
      <c r="E166" s="63"/>
      <c r="F166" s="64"/>
    </row>
    <row r="167" spans="1:7" x14ac:dyDescent="0.25">
      <c r="A167" s="14" t="s">
        <v>95</v>
      </c>
      <c r="B167" s="27">
        <v>911</v>
      </c>
      <c r="C167" s="27">
        <v>6233</v>
      </c>
      <c r="D167" s="27">
        <v>137</v>
      </c>
      <c r="E167" s="27">
        <v>600</v>
      </c>
      <c r="F167" s="27">
        <f>SUM(B167:E167)</f>
        <v>7881</v>
      </c>
    </row>
    <row r="168" spans="1:7" x14ac:dyDescent="0.25">
      <c r="A168" s="14" t="s">
        <v>96</v>
      </c>
      <c r="B168" s="27">
        <f>31885000/1000000</f>
        <v>31.885000000000002</v>
      </c>
      <c r="C168" s="27">
        <v>137.85851500000001</v>
      </c>
      <c r="D168" s="27">
        <v>3.43</v>
      </c>
      <c r="E168" s="27">
        <v>20.75</v>
      </c>
      <c r="F168" s="11">
        <f>SUM(B168:E168)</f>
        <v>193.92351500000001</v>
      </c>
    </row>
    <row r="169" spans="1:7" x14ac:dyDescent="0.25">
      <c r="A169" s="61"/>
      <c r="B169" s="61"/>
      <c r="C169" s="61"/>
      <c r="D169" s="61"/>
      <c r="E169" s="61"/>
      <c r="F169" s="61"/>
    </row>
    <row r="170" spans="1:7" x14ac:dyDescent="0.25">
      <c r="A170" s="62" t="s">
        <v>97</v>
      </c>
      <c r="B170" s="63"/>
      <c r="C170" s="63"/>
      <c r="D170" s="63"/>
      <c r="E170" s="63"/>
      <c r="F170" s="64"/>
    </row>
    <row r="171" spans="1:7" x14ac:dyDescent="0.25">
      <c r="A171" s="14" t="s">
        <v>98</v>
      </c>
      <c r="B171" s="27">
        <v>1865</v>
      </c>
      <c r="C171" s="27">
        <v>508</v>
      </c>
      <c r="D171" s="27">
        <v>138</v>
      </c>
      <c r="E171" s="27">
        <v>453</v>
      </c>
      <c r="F171" s="27">
        <f>SUM(B171:E171)</f>
        <v>2964</v>
      </c>
    </row>
    <row r="172" spans="1:7" x14ac:dyDescent="0.25">
      <c r="A172" s="14" t="s">
        <v>96</v>
      </c>
      <c r="B172" s="27">
        <f>65275000/1000000</f>
        <v>65.275000000000006</v>
      </c>
      <c r="C172" s="27">
        <v>10.752000000000001</v>
      </c>
      <c r="D172" s="27">
        <v>3.45</v>
      </c>
      <c r="E172" s="27">
        <v>9.9390000000000001</v>
      </c>
      <c r="F172" s="11">
        <f>SUM(B172:E172)</f>
        <v>89.415999999999997</v>
      </c>
    </row>
    <row r="173" spans="1:7" x14ac:dyDescent="0.25">
      <c r="A173" s="61"/>
      <c r="B173" s="61"/>
      <c r="C173" s="61"/>
      <c r="D173" s="61"/>
      <c r="E173" s="61"/>
      <c r="F173" s="61"/>
      <c r="G173" s="61"/>
    </row>
    <row r="174" spans="1:7" x14ac:dyDescent="0.25">
      <c r="A174" s="62" t="s">
        <v>99</v>
      </c>
      <c r="B174" s="63"/>
      <c r="C174" s="63"/>
      <c r="D174" s="63"/>
      <c r="E174" s="63"/>
      <c r="F174" s="64"/>
    </row>
    <row r="175" spans="1:7" x14ac:dyDescent="0.25">
      <c r="A175" s="14" t="s">
        <v>98</v>
      </c>
      <c r="B175" s="27">
        <v>192</v>
      </c>
      <c r="C175" s="27">
        <v>313</v>
      </c>
      <c r="D175" s="27">
        <v>128</v>
      </c>
      <c r="E175" s="27">
        <v>39</v>
      </c>
      <c r="F175" s="27">
        <f>SUM(B175:E175)</f>
        <v>672</v>
      </c>
    </row>
    <row r="176" spans="1:7" x14ac:dyDescent="0.25">
      <c r="A176" s="14" t="s">
        <v>96</v>
      </c>
      <c r="B176" s="27">
        <f>19900000/1000000</f>
        <v>19.899999999999999</v>
      </c>
      <c r="C176" s="27">
        <v>33.26</v>
      </c>
      <c r="D176" s="27">
        <v>7.75</v>
      </c>
      <c r="E176" s="27">
        <v>3.95</v>
      </c>
      <c r="F176" s="11">
        <f>SUM(B176:E176)</f>
        <v>64.86</v>
      </c>
    </row>
    <row r="177" spans="1:7" x14ac:dyDescent="0.25">
      <c r="A177" s="61"/>
      <c r="B177" s="61"/>
      <c r="C177" s="61"/>
      <c r="D177" s="61"/>
      <c r="E177" s="61"/>
      <c r="F177" s="61"/>
      <c r="G177" s="61"/>
    </row>
    <row r="178" spans="1:7" x14ac:dyDescent="0.25">
      <c r="A178" s="62" t="s">
        <v>100</v>
      </c>
      <c r="B178" s="63"/>
      <c r="C178" s="63"/>
      <c r="D178" s="63"/>
      <c r="E178" s="63"/>
      <c r="F178" s="64"/>
    </row>
    <row r="179" spans="1:7" x14ac:dyDescent="0.25">
      <c r="A179" s="14" t="s">
        <v>98</v>
      </c>
      <c r="B179" s="54">
        <v>384</v>
      </c>
      <c r="C179" s="27">
        <v>181561</v>
      </c>
      <c r="D179" s="27">
        <v>0</v>
      </c>
      <c r="E179" s="27">
        <v>0</v>
      </c>
      <c r="F179" s="27">
        <f>SUM(B179:E179)</f>
        <v>181945</v>
      </c>
    </row>
    <row r="180" spans="1:7" x14ac:dyDescent="0.25">
      <c r="A180" s="14" t="s">
        <v>96</v>
      </c>
      <c r="B180" s="53">
        <f>11770000/1000000</f>
        <v>11.77</v>
      </c>
      <c r="C180" s="27">
        <v>3436.9524714679301</v>
      </c>
      <c r="D180" s="27">
        <v>0</v>
      </c>
      <c r="E180" s="27">
        <v>0</v>
      </c>
      <c r="F180" s="11">
        <f>SUM(B180:E180)</f>
        <v>3448.7224714679301</v>
      </c>
    </row>
    <row r="181" spans="1:7" x14ac:dyDescent="0.25">
      <c r="A181" s="61"/>
      <c r="B181" s="61"/>
      <c r="C181" s="61"/>
      <c r="D181" s="61"/>
      <c r="E181" s="61"/>
      <c r="F181" s="61"/>
      <c r="G181" s="61"/>
    </row>
    <row r="182" spans="1:7" x14ac:dyDescent="0.25">
      <c r="A182" s="60" t="s">
        <v>101</v>
      </c>
      <c r="B182" s="60"/>
      <c r="C182" s="60"/>
      <c r="D182" s="60"/>
      <c r="E182" s="60"/>
      <c r="F182" s="60"/>
    </row>
    <row r="183" spans="1:7" x14ac:dyDescent="0.25">
      <c r="A183" s="18" t="s">
        <v>102</v>
      </c>
      <c r="B183" s="19">
        <f>+B179+B175+B171+B167</f>
        <v>3352</v>
      </c>
      <c r="C183" s="19">
        <v>188615</v>
      </c>
      <c r="D183" s="19">
        <v>403</v>
      </c>
      <c r="E183" s="19">
        <f>+E179+E175+E171+E167</f>
        <v>1092</v>
      </c>
      <c r="F183" s="19">
        <f>SUM(B183:E183)</f>
        <v>193462</v>
      </c>
    </row>
    <row r="184" spans="1:7" x14ac:dyDescent="0.25">
      <c r="A184" s="18" t="s">
        <v>103</v>
      </c>
      <c r="B184" s="19">
        <f>+B180+B176+B172+B168</f>
        <v>128.83000000000001</v>
      </c>
      <c r="C184" s="19">
        <v>3618.8229864679301</v>
      </c>
      <c r="D184" s="19">
        <v>14.63</v>
      </c>
      <c r="E184" s="19">
        <f>+E180+E176+E172+E168</f>
        <v>34.638999999999996</v>
      </c>
      <c r="F184" s="22">
        <f>SUM(B184:E184)</f>
        <v>3796.9219864679303</v>
      </c>
    </row>
    <row r="185" spans="1:7" x14ac:dyDescent="0.25">
      <c r="A185" s="61"/>
      <c r="B185" s="61"/>
      <c r="C185" s="61"/>
      <c r="D185" s="61"/>
      <c r="E185" s="61"/>
      <c r="F185" s="61"/>
      <c r="G185" s="61"/>
    </row>
    <row r="186" spans="1:7" x14ac:dyDescent="0.25">
      <c r="A186" s="60" t="s">
        <v>104</v>
      </c>
      <c r="B186" s="60"/>
      <c r="C186" s="60"/>
      <c r="D186" s="60"/>
      <c r="E186" s="60"/>
      <c r="F186" s="60"/>
    </row>
    <row r="187" spans="1:7" x14ac:dyDescent="0.25">
      <c r="A187" s="14" t="s">
        <v>105</v>
      </c>
      <c r="B187" s="27">
        <v>4719</v>
      </c>
      <c r="C187" s="27">
        <v>59</v>
      </c>
      <c r="D187" s="27">
        <v>34</v>
      </c>
      <c r="E187" s="27">
        <v>28921</v>
      </c>
      <c r="F187" s="27">
        <f>SUM(B187:E187)</f>
        <v>33733</v>
      </c>
    </row>
    <row r="188" spans="1:7" x14ac:dyDescent="0.25">
      <c r="A188" s="14" t="s">
        <v>106</v>
      </c>
      <c r="B188" s="27">
        <f>57346670/1000000</f>
        <v>57.346670000000003</v>
      </c>
      <c r="C188" s="27">
        <v>271.26434199999994</v>
      </c>
      <c r="D188" s="27">
        <v>4.08</v>
      </c>
      <c r="E188" s="27">
        <v>226.29738399999997</v>
      </c>
      <c r="F188" s="11">
        <f>SUM(B188:E188)</f>
        <v>558.98839599999997</v>
      </c>
    </row>
    <row r="189" spans="1:7" x14ac:dyDescent="0.25">
      <c r="A189" s="61"/>
      <c r="B189" s="61"/>
      <c r="C189" s="61"/>
      <c r="D189" s="61"/>
      <c r="E189" s="61"/>
      <c r="F189" s="61"/>
      <c r="G189" s="61"/>
    </row>
    <row r="190" spans="1:7" x14ac:dyDescent="0.25">
      <c r="A190" s="60" t="s">
        <v>107</v>
      </c>
      <c r="B190" s="60"/>
      <c r="C190" s="60"/>
      <c r="D190" s="60"/>
      <c r="E190" s="60"/>
      <c r="F190" s="60"/>
    </row>
    <row r="191" spans="1:7" x14ac:dyDescent="0.25">
      <c r="A191" s="18" t="s">
        <v>108</v>
      </c>
      <c r="B191" s="19">
        <f>B187+B162+B183</f>
        <v>10962</v>
      </c>
      <c r="C191" s="44">
        <v>233843</v>
      </c>
      <c r="D191" s="19">
        <v>4548</v>
      </c>
      <c r="E191" s="19">
        <f>E158+E162+E183+E187</f>
        <v>57842</v>
      </c>
      <c r="F191" s="19">
        <f>SUM(B191:E191)</f>
        <v>307195</v>
      </c>
    </row>
    <row r="192" spans="1:7" x14ac:dyDescent="0.25">
      <c r="A192" s="18" t="s">
        <v>109</v>
      </c>
      <c r="B192" s="19">
        <f>B188+B163+B184</f>
        <v>254.03555</v>
      </c>
      <c r="C192" s="44">
        <v>4334.0209814679301</v>
      </c>
      <c r="D192" s="55">
        <v>94.71</v>
      </c>
      <c r="E192" s="19">
        <f>E159+E184+E163+E188</f>
        <v>452.57476799999995</v>
      </c>
      <c r="F192" s="22">
        <f>SUM(B192:E192)</f>
        <v>5135.3412994679293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5C62-B312-4924-9D3F-4BA528D20475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81" t="s">
        <v>1</v>
      </c>
      <c r="C2" s="82"/>
      <c r="D2" s="82"/>
      <c r="E2" s="82"/>
      <c r="F2" s="83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70" t="s">
        <v>7</v>
      </c>
      <c r="B4" s="71"/>
      <c r="C4" s="71"/>
      <c r="D4" s="71"/>
      <c r="E4" s="71"/>
      <c r="F4" s="72"/>
    </row>
    <row r="5" spans="1:6" x14ac:dyDescent="0.25">
      <c r="A5" s="66" t="s">
        <v>8</v>
      </c>
      <c r="B5" s="67"/>
      <c r="C5" s="67"/>
      <c r="D5" s="67"/>
      <c r="E5" s="67"/>
      <c r="F5" s="68"/>
    </row>
    <row r="6" spans="1:6" x14ac:dyDescent="0.25">
      <c r="A6" s="4" t="s">
        <v>9</v>
      </c>
      <c r="B6" s="12">
        <v>55313</v>
      </c>
      <c r="C6" s="12">
        <v>8237</v>
      </c>
      <c r="D6" s="12">
        <v>8297</v>
      </c>
      <c r="E6" s="12">
        <v>9882</v>
      </c>
      <c r="F6" s="12">
        <f>+E6+D6+C6+B6</f>
        <v>81729</v>
      </c>
    </row>
    <row r="7" spans="1:6" x14ac:dyDescent="0.25">
      <c r="A7" s="14" t="s">
        <v>10</v>
      </c>
      <c r="B7" s="12">
        <v>546</v>
      </c>
      <c r="C7" s="12">
        <v>255</v>
      </c>
      <c r="D7" s="12">
        <v>24</v>
      </c>
      <c r="E7" s="12">
        <v>150</v>
      </c>
      <c r="F7" s="12">
        <f>+E7+D7+C7+B7</f>
        <v>975</v>
      </c>
    </row>
    <row r="8" spans="1:6" x14ac:dyDescent="0.25">
      <c r="A8" s="18" t="s">
        <v>11</v>
      </c>
      <c r="B8" s="25">
        <v>55859</v>
      </c>
      <c r="C8" s="25">
        <f>+C6+C7</f>
        <v>8492</v>
      </c>
      <c r="D8" s="25">
        <v>8321</v>
      </c>
      <c r="E8" s="25">
        <v>10032</v>
      </c>
      <c r="F8" s="25">
        <f>+E8+D8+C8+B8</f>
        <v>82704</v>
      </c>
    </row>
    <row r="9" spans="1:6" x14ac:dyDescent="0.25">
      <c r="A9" s="61"/>
      <c r="B9" s="61"/>
      <c r="C9" s="61"/>
      <c r="D9" s="61"/>
      <c r="E9" s="61"/>
      <c r="F9" s="61"/>
    </row>
    <row r="10" spans="1:6" x14ac:dyDescent="0.25">
      <c r="A10" s="66" t="s">
        <v>12</v>
      </c>
      <c r="B10" s="67"/>
      <c r="C10" s="67"/>
      <c r="D10" s="67"/>
      <c r="E10" s="67"/>
      <c r="F10" s="68"/>
    </row>
    <row r="11" spans="1:6" x14ac:dyDescent="0.25">
      <c r="A11" s="62" t="s">
        <v>13</v>
      </c>
      <c r="B11" s="63"/>
      <c r="C11" s="63"/>
      <c r="D11" s="63"/>
      <c r="E11" s="63"/>
      <c r="F11" s="64"/>
    </row>
    <row r="12" spans="1:6" x14ac:dyDescent="0.25">
      <c r="A12" s="16" t="s">
        <v>14</v>
      </c>
      <c r="B12" s="12">
        <v>795353</v>
      </c>
      <c r="C12" s="12">
        <v>107976</v>
      </c>
      <c r="D12" s="12">
        <v>43031</v>
      </c>
      <c r="E12" s="12">
        <v>0</v>
      </c>
      <c r="F12" s="17">
        <f>SUM(B12:E12)</f>
        <v>946360</v>
      </c>
    </row>
    <row r="13" spans="1:6" x14ac:dyDescent="0.25">
      <c r="A13" s="16" t="s">
        <v>15</v>
      </c>
      <c r="B13" s="12">
        <v>2597551</v>
      </c>
      <c r="C13" s="12">
        <v>568317</v>
      </c>
      <c r="D13" s="12">
        <v>242448</v>
      </c>
      <c r="E13" s="12">
        <v>0</v>
      </c>
      <c r="F13" s="17">
        <f>SUM(B13:E13)</f>
        <v>3408316</v>
      </c>
    </row>
    <row r="14" spans="1:6" x14ac:dyDescent="0.25">
      <c r="A14" s="18" t="s">
        <v>16</v>
      </c>
      <c r="B14" s="25">
        <v>3392904</v>
      </c>
      <c r="C14" s="25">
        <v>985031</v>
      </c>
      <c r="D14" s="25">
        <v>285479</v>
      </c>
      <c r="E14" s="25">
        <v>154542</v>
      </c>
      <c r="F14" s="19">
        <f>SUM(B14:E14)</f>
        <v>4817956</v>
      </c>
    </row>
    <row r="15" spans="1:6" x14ac:dyDescent="0.25">
      <c r="A15" s="18" t="s">
        <v>17</v>
      </c>
      <c r="B15" s="25">
        <v>489823</v>
      </c>
      <c r="C15" s="25">
        <v>167832</v>
      </c>
      <c r="D15" s="25">
        <v>3353</v>
      </c>
      <c r="E15" s="25">
        <v>356286</v>
      </c>
      <c r="F15" s="19">
        <f>SUM(B15:E15)</f>
        <v>1017294</v>
      </c>
    </row>
    <row r="16" spans="1:6" x14ac:dyDescent="0.25">
      <c r="A16" s="18" t="s">
        <v>18</v>
      </c>
      <c r="B16" s="25">
        <v>3882727</v>
      </c>
      <c r="C16" s="25">
        <v>1152863</v>
      </c>
      <c r="D16" s="25">
        <v>288832</v>
      </c>
      <c r="E16" s="25">
        <v>510828</v>
      </c>
      <c r="F16" s="19">
        <f>SUM(B16:E16)</f>
        <v>5835250</v>
      </c>
    </row>
    <row r="17" spans="1:7" x14ac:dyDescent="0.25">
      <c r="A17" s="61"/>
      <c r="B17" s="61"/>
      <c r="C17" s="61"/>
      <c r="D17" s="61"/>
      <c r="E17" s="61"/>
      <c r="F17" s="61"/>
    </row>
    <row r="18" spans="1:7" x14ac:dyDescent="0.25">
      <c r="A18" s="62" t="s">
        <v>19</v>
      </c>
      <c r="B18" s="63"/>
      <c r="C18" s="63"/>
      <c r="D18" s="63"/>
      <c r="E18" s="63"/>
      <c r="F18" s="64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84"/>
      <c r="B20" s="84"/>
      <c r="C20" s="84"/>
      <c r="D20" s="84"/>
      <c r="E20" s="84"/>
      <c r="F20" s="84"/>
    </row>
    <row r="21" spans="1:7" x14ac:dyDescent="0.25">
      <c r="A21" s="18" t="s">
        <v>21</v>
      </c>
      <c r="B21" s="19">
        <f>+B19+B16</f>
        <v>3886232</v>
      </c>
      <c r="C21" s="19">
        <v>1152867</v>
      </c>
      <c r="D21" s="19">
        <v>288832</v>
      </c>
      <c r="E21" s="19">
        <v>510828</v>
      </c>
      <c r="F21" s="19">
        <f>SUM(B21:E21)</f>
        <v>5838759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403597</v>
      </c>
      <c r="C24" s="19">
        <v>201636</v>
      </c>
      <c r="D24" s="19">
        <v>142252</v>
      </c>
      <c r="E24" s="19">
        <v>686155</v>
      </c>
      <c r="F24" s="19">
        <f>SUM(B24:E24)</f>
        <v>1433640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4289829</v>
      </c>
      <c r="C27" s="19">
        <f>+C24+C21</f>
        <v>1354503</v>
      </c>
      <c r="D27" s="19">
        <f>+D21+D24</f>
        <v>431084</v>
      </c>
      <c r="E27" s="19">
        <f>+E24+E21</f>
        <v>1196983</v>
      </c>
      <c r="F27" s="19">
        <f>SUM(B27:E27)</f>
        <v>7272399</v>
      </c>
    </row>
    <row r="28" spans="1:7" x14ac:dyDescent="0.25">
      <c r="A28" s="61"/>
      <c r="B28" s="61"/>
      <c r="C28" s="61"/>
      <c r="D28" s="61"/>
      <c r="E28" s="61"/>
      <c r="F28" s="61"/>
      <c r="G28" s="61"/>
    </row>
    <row r="29" spans="1:7" x14ac:dyDescent="0.25">
      <c r="A29" s="66" t="s">
        <v>26</v>
      </c>
      <c r="B29" s="67"/>
      <c r="C29" s="67"/>
      <c r="D29" s="67"/>
      <c r="E29" s="67"/>
      <c r="F29" s="68"/>
    </row>
    <row r="30" spans="1:7" x14ac:dyDescent="0.25">
      <c r="A30" s="14" t="s">
        <v>27</v>
      </c>
      <c r="B30" s="27">
        <v>1275548</v>
      </c>
      <c r="C30" s="27">
        <v>130114</v>
      </c>
      <c r="D30" s="27">
        <v>75810</v>
      </c>
      <c r="E30" s="27">
        <v>206757</v>
      </c>
      <c r="F30" s="27">
        <f>SUM(B30:E30)</f>
        <v>1688229</v>
      </c>
    </row>
    <row r="31" spans="1:7" x14ac:dyDescent="0.25">
      <c r="A31" s="61"/>
      <c r="B31" s="61"/>
      <c r="C31" s="61"/>
      <c r="D31" s="61"/>
      <c r="E31" s="61"/>
      <c r="F31" s="61"/>
      <c r="G31" s="61"/>
    </row>
    <row r="32" spans="1:7" x14ac:dyDescent="0.25">
      <c r="A32" s="66" t="s">
        <v>28</v>
      </c>
      <c r="B32" s="67"/>
      <c r="C32" s="67"/>
      <c r="D32" s="67"/>
      <c r="E32" s="67"/>
      <c r="F32" s="68"/>
    </row>
    <row r="33" spans="1:8" x14ac:dyDescent="0.25">
      <c r="A33" s="14" t="s">
        <v>29</v>
      </c>
      <c r="B33" s="27">
        <v>4010636355362</v>
      </c>
      <c r="C33" s="27">
        <v>673821496799</v>
      </c>
      <c r="D33" s="27">
        <v>268400271594</v>
      </c>
      <c r="E33" s="27">
        <v>474265729690</v>
      </c>
      <c r="F33" s="27">
        <f>SUM(B33:E33)</f>
        <v>5427123853445</v>
      </c>
    </row>
    <row r="34" spans="1:8" x14ac:dyDescent="0.25">
      <c r="A34" s="14" t="s">
        <v>30</v>
      </c>
      <c r="B34" s="27">
        <v>174235776629</v>
      </c>
      <c r="C34" s="27">
        <v>71778000673</v>
      </c>
      <c r="D34" s="27">
        <v>43910419800</v>
      </c>
      <c r="E34" s="27">
        <v>208385944815</v>
      </c>
      <c r="F34" s="27">
        <f>SUM(B34:E34)</f>
        <v>498310141917</v>
      </c>
    </row>
    <row r="35" spans="1:8" x14ac:dyDescent="0.25">
      <c r="A35" s="39" t="s">
        <v>31</v>
      </c>
      <c r="B35" s="19">
        <v>4184872131991</v>
      </c>
      <c r="C35" s="19">
        <v>745599497472</v>
      </c>
      <c r="D35" s="19">
        <v>312310691394</v>
      </c>
      <c r="E35" s="19">
        <v>682651674505</v>
      </c>
      <c r="F35" s="40">
        <f>SUM(B35:E35)</f>
        <v>5925433995362</v>
      </c>
    </row>
    <row r="36" spans="1:8" x14ac:dyDescent="0.25">
      <c r="A36" s="77" t="s">
        <v>32</v>
      </c>
      <c r="B36" s="78"/>
      <c r="C36" s="78"/>
      <c r="D36" s="78"/>
      <c r="E36" s="78"/>
      <c r="F36" s="78"/>
      <c r="G36" s="79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70" t="s">
        <v>33</v>
      </c>
      <c r="B38" s="71"/>
      <c r="C38" s="71"/>
      <c r="D38" s="71"/>
      <c r="E38" s="71"/>
      <c r="F38" s="72"/>
    </row>
    <row r="39" spans="1:8" x14ac:dyDescent="0.25">
      <c r="A39" s="66" t="s">
        <v>34</v>
      </c>
      <c r="B39" s="67"/>
      <c r="C39" s="67"/>
      <c r="D39" s="67"/>
      <c r="E39" s="67"/>
      <c r="F39" s="68"/>
    </row>
    <row r="40" spans="1:8" x14ac:dyDescent="0.25">
      <c r="A40" s="14" t="s">
        <v>35</v>
      </c>
      <c r="B40" s="27">
        <v>720948</v>
      </c>
      <c r="C40" s="27">
        <v>117541</v>
      </c>
      <c r="D40" s="27">
        <v>49904</v>
      </c>
      <c r="E40" s="27">
        <v>69268</v>
      </c>
      <c r="F40" s="27">
        <f>SUM(B40:E40)</f>
        <v>957661</v>
      </c>
      <c r="G40" s="7"/>
      <c r="H40" s="7"/>
    </row>
    <row r="41" spans="1:8" x14ac:dyDescent="0.25">
      <c r="A41" s="14" t="s">
        <v>36</v>
      </c>
      <c r="B41" s="27">
        <f>4626482660/1000000</f>
        <v>4626.4826599999997</v>
      </c>
      <c r="C41" s="27">
        <v>1284.549287</v>
      </c>
      <c r="D41" s="27">
        <v>532.79999999999995</v>
      </c>
      <c r="E41" s="12">
        <v>702.16100600000004</v>
      </c>
      <c r="F41" s="11">
        <f>SUM(B41:E41)</f>
        <v>7145.9929529999999</v>
      </c>
      <c r="G41" s="7"/>
      <c r="H41" s="7"/>
    </row>
    <row r="42" spans="1:8" x14ac:dyDescent="0.25">
      <c r="A42" s="61"/>
      <c r="B42" s="61"/>
      <c r="C42" s="61"/>
      <c r="D42" s="61"/>
      <c r="E42" s="61"/>
      <c r="F42" s="61"/>
      <c r="G42" s="61"/>
      <c r="H42" s="7"/>
    </row>
    <row r="43" spans="1:8" x14ac:dyDescent="0.25">
      <c r="A43" s="60" t="s">
        <v>37</v>
      </c>
      <c r="B43" s="60"/>
      <c r="C43" s="60"/>
      <c r="D43" s="60"/>
      <c r="E43" s="60"/>
      <c r="F43" s="60"/>
      <c r="H43" s="7"/>
    </row>
    <row r="44" spans="1:8" x14ac:dyDescent="0.25">
      <c r="A44" s="14" t="s">
        <v>38</v>
      </c>
      <c r="B44" s="27">
        <v>5</v>
      </c>
      <c r="C44" s="27">
        <v>7</v>
      </c>
      <c r="D44" s="27">
        <v>0</v>
      </c>
      <c r="E44" s="27">
        <v>2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4854198/1000000</f>
        <v>4.8541980000000002</v>
      </c>
      <c r="C45" s="27">
        <v>6.9351999999999997E-2</v>
      </c>
      <c r="D45" s="27">
        <v>0</v>
      </c>
      <c r="E45" s="27">
        <v>0.121561</v>
      </c>
      <c r="F45" s="11">
        <f>SUM(B45:E45)</f>
        <v>5.0451110000000003</v>
      </c>
      <c r="G45" s="7"/>
      <c r="H45" s="7"/>
    </row>
    <row r="46" spans="1:8" x14ac:dyDescent="0.25">
      <c r="A46" s="61"/>
      <c r="B46" s="61"/>
      <c r="C46" s="61"/>
      <c r="D46" s="61"/>
      <c r="E46" s="61"/>
      <c r="F46" s="61"/>
      <c r="G46" s="61"/>
      <c r="H46" s="7"/>
    </row>
    <row r="47" spans="1:8" x14ac:dyDescent="0.25">
      <c r="A47" s="60" t="s">
        <v>40</v>
      </c>
      <c r="B47" s="60"/>
      <c r="C47" s="60"/>
      <c r="D47" s="60"/>
      <c r="E47" s="60"/>
      <c r="F47" s="60"/>
      <c r="H47" s="7"/>
    </row>
    <row r="48" spans="1:8" x14ac:dyDescent="0.25">
      <c r="A48" s="14" t="s">
        <v>41</v>
      </c>
      <c r="B48" s="27">
        <v>129332</v>
      </c>
      <c r="C48" s="27">
        <v>62819</v>
      </c>
      <c r="D48" s="27">
        <v>12364</v>
      </c>
      <c r="E48" s="27">
        <v>59694</v>
      </c>
      <c r="F48" s="27">
        <f>SUM(B48:E48)</f>
        <v>264209</v>
      </c>
      <c r="G48" s="7"/>
      <c r="H48" s="7"/>
    </row>
    <row r="49" spans="1:8" x14ac:dyDescent="0.25">
      <c r="A49" s="14" t="s">
        <v>42</v>
      </c>
      <c r="B49" s="27">
        <f>(89270218842+1892155442)/1000000</f>
        <v>91162.374284000005</v>
      </c>
      <c r="C49" s="27">
        <v>25781</v>
      </c>
      <c r="D49" s="27">
        <v>11046.34101</v>
      </c>
      <c r="E49" s="12">
        <v>12336.751834000001</v>
      </c>
      <c r="F49" s="11">
        <f>SUM(B49:E49)</f>
        <v>140326.46712800002</v>
      </c>
      <c r="G49" s="7"/>
      <c r="H49" s="7"/>
    </row>
    <row r="50" spans="1:8" x14ac:dyDescent="0.25">
      <c r="A50" s="61"/>
      <c r="B50" s="61"/>
      <c r="C50" s="61"/>
      <c r="D50" s="61"/>
      <c r="E50" s="61"/>
      <c r="F50" s="61"/>
      <c r="G50" s="61"/>
    </row>
    <row r="51" spans="1:8" ht="21" x14ac:dyDescent="0.35">
      <c r="A51" s="70" t="s">
        <v>43</v>
      </c>
      <c r="B51" s="71"/>
      <c r="C51" s="71"/>
      <c r="D51" s="71"/>
      <c r="E51" s="71"/>
      <c r="F51" s="72"/>
    </row>
    <row r="52" spans="1:8" x14ac:dyDescent="0.25">
      <c r="A52" s="80"/>
      <c r="B52" s="80"/>
      <c r="C52" s="80"/>
      <c r="D52" s="80"/>
      <c r="E52" s="80"/>
      <c r="F52" s="80"/>
      <c r="G52" s="80"/>
    </row>
    <row r="53" spans="1:8" x14ac:dyDescent="0.25">
      <c r="A53" s="60" t="s">
        <v>44</v>
      </c>
      <c r="B53" s="60"/>
      <c r="C53" s="60"/>
      <c r="D53" s="60"/>
      <c r="E53" s="60"/>
      <c r="F53" s="60"/>
    </row>
    <row r="54" spans="1:8" x14ac:dyDescent="0.25">
      <c r="A54" s="65" t="s">
        <v>45</v>
      </c>
      <c r="B54" s="65"/>
      <c r="C54" s="65"/>
      <c r="D54" s="65"/>
      <c r="E54" s="65"/>
      <c r="F54" s="65"/>
    </row>
    <row r="55" spans="1:8" x14ac:dyDescent="0.25">
      <c r="A55" s="14" t="s">
        <v>46</v>
      </c>
      <c r="B55" s="27">
        <v>113954</v>
      </c>
      <c r="C55" s="27">
        <v>5475</v>
      </c>
      <c r="D55" s="27">
        <v>1353</v>
      </c>
      <c r="E55" s="27">
        <v>4134</v>
      </c>
      <c r="F55" s="27">
        <f t="shared" ref="F55:F71" si="0">SUM(B55:E55)</f>
        <v>124916</v>
      </c>
    </row>
    <row r="56" spans="1:8" x14ac:dyDescent="0.25">
      <c r="A56" s="14" t="s">
        <v>47</v>
      </c>
      <c r="B56" s="27">
        <v>68956.861388999998</v>
      </c>
      <c r="C56" s="27">
        <v>7719.4234740000002</v>
      </c>
      <c r="D56" s="27">
        <v>1946.698956</v>
      </c>
      <c r="E56" s="27">
        <v>9573</v>
      </c>
      <c r="F56" s="27">
        <f t="shared" si="0"/>
        <v>88195.983818999986</v>
      </c>
    </row>
    <row r="57" spans="1:8" x14ac:dyDescent="0.25">
      <c r="A57" s="14" t="s">
        <v>48</v>
      </c>
      <c r="B57" s="27">
        <v>12.6164768239816</v>
      </c>
      <c r="C57" s="27">
        <v>38</v>
      </c>
      <c r="D57" s="27">
        <v>20.426459719142645</v>
      </c>
      <c r="E57" s="27">
        <v>28</v>
      </c>
      <c r="F57" s="27">
        <f>AVERAGE(B57:E57)</f>
        <v>24.76073413578106</v>
      </c>
    </row>
    <row r="58" spans="1:8" x14ac:dyDescent="0.25">
      <c r="A58" s="14" t="s">
        <v>49</v>
      </c>
      <c r="B58" s="27">
        <v>826750</v>
      </c>
      <c r="C58" s="27">
        <v>149586</v>
      </c>
      <c r="D58" s="27">
        <v>52483</v>
      </c>
      <c r="E58" s="27">
        <v>80422</v>
      </c>
      <c r="F58" s="27">
        <f t="shared" si="0"/>
        <v>1109241</v>
      </c>
    </row>
    <row r="59" spans="1:8" x14ac:dyDescent="0.25">
      <c r="A59" s="14" t="s">
        <v>50</v>
      </c>
      <c r="B59" s="27">
        <v>1819838.906011</v>
      </c>
      <c r="C59" s="27">
        <v>266322.78905199998</v>
      </c>
      <c r="D59" s="27">
        <v>109681.218926</v>
      </c>
      <c r="E59" s="27">
        <v>188298</v>
      </c>
      <c r="F59" s="11">
        <f t="shared" si="0"/>
        <v>2384140.913989</v>
      </c>
    </row>
    <row r="60" spans="1:8" x14ac:dyDescent="0.25">
      <c r="A60" s="65" t="s">
        <v>51</v>
      </c>
      <c r="B60" s="65"/>
      <c r="C60" s="65"/>
      <c r="D60" s="65"/>
      <c r="E60" s="65"/>
      <c r="F60" s="65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65" t="s">
        <v>52</v>
      </c>
      <c r="B66" s="65"/>
      <c r="C66" s="65"/>
      <c r="D66" s="65"/>
      <c r="E66" s="65"/>
      <c r="F66" s="65"/>
    </row>
    <row r="67" spans="1:7" x14ac:dyDescent="0.25">
      <c r="A67" s="14" t="s">
        <v>46</v>
      </c>
      <c r="B67" s="27">
        <v>6087</v>
      </c>
      <c r="C67" s="27">
        <v>1566</v>
      </c>
      <c r="D67" s="27">
        <v>1400</v>
      </c>
      <c r="E67" s="27">
        <v>11665</v>
      </c>
      <c r="F67" s="27">
        <f t="shared" si="0"/>
        <v>20718</v>
      </c>
    </row>
    <row r="68" spans="1:7" x14ac:dyDescent="0.25">
      <c r="A68" s="14" t="s">
        <v>47</v>
      </c>
      <c r="B68" s="27">
        <v>4813.5121479999998</v>
      </c>
      <c r="C68" s="27">
        <v>1563.695778</v>
      </c>
      <c r="D68" s="27">
        <v>1783.829898</v>
      </c>
      <c r="E68" s="27">
        <v>15126</v>
      </c>
      <c r="F68" s="27">
        <f t="shared" si="0"/>
        <v>23287.037823999999</v>
      </c>
    </row>
    <row r="69" spans="1:7" x14ac:dyDescent="0.25">
      <c r="A69" s="14" t="s">
        <v>48</v>
      </c>
      <c r="B69" s="27">
        <v>37.788237226877001</v>
      </c>
      <c r="C69" s="27">
        <v>54</v>
      </c>
      <c r="D69" s="27">
        <v>50.449285714285715</v>
      </c>
      <c r="E69" s="27">
        <v>39</v>
      </c>
      <c r="F69" s="27">
        <f>AVERAGE(B69:E69)</f>
        <v>45.309380735290681</v>
      </c>
    </row>
    <row r="70" spans="1:7" x14ac:dyDescent="0.25">
      <c r="A70" s="14" t="s">
        <v>49</v>
      </c>
      <c r="B70" s="27">
        <v>137634</v>
      </c>
      <c r="C70" s="27">
        <v>88063</v>
      </c>
      <c r="D70" s="27">
        <v>65611</v>
      </c>
      <c r="E70" s="27">
        <v>274482</v>
      </c>
      <c r="F70" s="27">
        <f t="shared" si="0"/>
        <v>565790</v>
      </c>
    </row>
    <row r="71" spans="1:7" x14ac:dyDescent="0.25">
      <c r="A71" s="14" t="s">
        <v>50</v>
      </c>
      <c r="B71" s="27">
        <v>143839.68463599999</v>
      </c>
      <c r="C71" s="27">
        <v>103965.922596</v>
      </c>
      <c r="D71" s="27">
        <v>69157.140599000006</v>
      </c>
      <c r="E71" s="27">
        <v>256778</v>
      </c>
      <c r="F71" s="11">
        <f t="shared" si="0"/>
        <v>573740.74783100002</v>
      </c>
    </row>
    <row r="72" spans="1:7" x14ac:dyDescent="0.25">
      <c r="A72" s="74" t="s">
        <v>53</v>
      </c>
      <c r="B72" s="75"/>
      <c r="C72" s="75"/>
      <c r="D72" s="75"/>
      <c r="E72" s="75"/>
      <c r="F72" s="76"/>
    </row>
    <row r="73" spans="1:7" x14ac:dyDescent="0.25">
      <c r="A73" s="18" t="s">
        <v>54</v>
      </c>
      <c r="B73" s="19">
        <v>120041</v>
      </c>
      <c r="C73" s="19">
        <v>7041</v>
      </c>
      <c r="D73" s="19">
        <v>2753</v>
      </c>
      <c r="E73" s="19">
        <v>15799</v>
      </c>
      <c r="F73" s="19">
        <f>SUM(B73:E73)</f>
        <v>145634</v>
      </c>
    </row>
    <row r="74" spans="1:7" x14ac:dyDescent="0.25">
      <c r="A74" s="18" t="s">
        <v>47</v>
      </c>
      <c r="B74" s="19">
        <v>73770.373536999992</v>
      </c>
      <c r="C74" s="19">
        <v>9283.1192520000004</v>
      </c>
      <c r="D74" s="19">
        <v>3730.5288540000001</v>
      </c>
      <c r="E74" s="19">
        <v>24699</v>
      </c>
      <c r="F74" s="22">
        <f>SUM(B74:E74)</f>
        <v>111483.021643</v>
      </c>
    </row>
    <row r="75" spans="1:7" x14ac:dyDescent="0.25">
      <c r="A75" s="18" t="s">
        <v>48</v>
      </c>
      <c r="B75" s="19">
        <v>13.8928782665922</v>
      </c>
      <c r="C75" s="19">
        <v>30.666666666666668</v>
      </c>
      <c r="D75" s="19">
        <v>0</v>
      </c>
      <c r="E75" s="19">
        <v>33.5</v>
      </c>
      <c r="F75" s="19">
        <f>AVERAGE(B75:E75)</f>
        <v>19.514886233314719</v>
      </c>
    </row>
    <row r="76" spans="1:7" x14ac:dyDescent="0.25">
      <c r="A76" s="18" t="s">
        <v>49</v>
      </c>
      <c r="B76" s="19">
        <v>964384</v>
      </c>
      <c r="C76" s="19">
        <v>237649</v>
      </c>
      <c r="D76" s="19">
        <v>118094</v>
      </c>
      <c r="E76" s="19">
        <v>354904</v>
      </c>
      <c r="F76" s="19">
        <f>SUM(B76:E76)</f>
        <v>1675031</v>
      </c>
    </row>
    <row r="77" spans="1:7" x14ac:dyDescent="0.25">
      <c r="A77" s="18" t="s">
        <v>50</v>
      </c>
      <c r="B77" s="19">
        <v>1963678.5906470001</v>
      </c>
      <c r="C77" s="19">
        <v>370288.711648</v>
      </c>
      <c r="D77" s="19">
        <v>178838.35952500001</v>
      </c>
      <c r="E77" s="19">
        <v>445076</v>
      </c>
      <c r="F77" s="22">
        <f>SUM(B77:E77)</f>
        <v>2957881.6618200005</v>
      </c>
    </row>
    <row r="78" spans="1:7" x14ac:dyDescent="0.25">
      <c r="A78" s="61"/>
      <c r="B78" s="61"/>
      <c r="C78" s="61"/>
      <c r="D78" s="61"/>
      <c r="E78" s="61"/>
      <c r="F78" s="61"/>
      <c r="G78" s="61"/>
    </row>
    <row r="79" spans="1:7" x14ac:dyDescent="0.25">
      <c r="A79" s="66" t="s">
        <v>55</v>
      </c>
      <c r="B79" s="67"/>
      <c r="C79" s="67"/>
      <c r="D79" s="67"/>
      <c r="E79" s="67"/>
      <c r="F79" s="68"/>
    </row>
    <row r="80" spans="1:7" x14ac:dyDescent="0.25">
      <c r="A80" s="62" t="s">
        <v>45</v>
      </c>
      <c r="B80" s="63"/>
      <c r="C80" s="63"/>
      <c r="D80" s="63"/>
      <c r="E80" s="63"/>
      <c r="F80" s="64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994</v>
      </c>
      <c r="C84" s="24">
        <v>116</v>
      </c>
      <c r="D84" s="24">
        <v>6</v>
      </c>
      <c r="E84" s="24">
        <v>94</v>
      </c>
      <c r="F84" s="24">
        <f>SUM(B84:E84)</f>
        <v>1210</v>
      </c>
    </row>
    <row r="85" spans="1:6" x14ac:dyDescent="0.25">
      <c r="A85" s="14" t="s">
        <v>50</v>
      </c>
      <c r="B85" s="24">
        <v>21460.963914</v>
      </c>
      <c r="C85" s="24">
        <v>1453</v>
      </c>
      <c r="D85" s="24">
        <v>76</v>
      </c>
      <c r="E85" s="27">
        <v>1729.8909269999999</v>
      </c>
      <c r="F85" s="11">
        <f>SUM(B85:E85)</f>
        <v>24719.854841</v>
      </c>
    </row>
    <row r="86" spans="1:6" x14ac:dyDescent="0.25">
      <c r="A86" s="62" t="s">
        <v>51</v>
      </c>
      <c r="B86" s="63"/>
      <c r="C86" s="63"/>
      <c r="D86" s="63"/>
      <c r="E86" s="63"/>
      <c r="F86" s="64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62" t="s">
        <v>52</v>
      </c>
      <c r="B92" s="63"/>
      <c r="C92" s="63"/>
      <c r="D92" s="63"/>
      <c r="E92" s="63"/>
      <c r="F92" s="64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4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174.56793999999999</v>
      </c>
      <c r="C97" s="20">
        <v>0</v>
      </c>
      <c r="D97" s="24">
        <v>0</v>
      </c>
      <c r="E97" s="24">
        <v>80.318144000000004</v>
      </c>
      <c r="F97" s="11">
        <f>SUM(B97:E97)</f>
        <v>254.88608399999998</v>
      </c>
    </row>
    <row r="98" spans="1:7" x14ac:dyDescent="0.25">
      <c r="A98" s="74" t="s">
        <v>56</v>
      </c>
      <c r="B98" s="75"/>
      <c r="C98" s="75"/>
      <c r="D98" s="75"/>
      <c r="E98" s="75"/>
      <c r="F98" s="76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1004</v>
      </c>
      <c r="C102" s="45">
        <f t="shared" ref="C102:C103" si="1">+C96+C90+C84</f>
        <v>116</v>
      </c>
      <c r="D102" s="45">
        <f>+D84</f>
        <v>6</v>
      </c>
      <c r="E102" s="45">
        <f>+E96+E84</f>
        <v>100</v>
      </c>
      <c r="F102" s="19">
        <f>SUM(B102:E102)</f>
        <v>1226</v>
      </c>
    </row>
    <row r="103" spans="1:7" x14ac:dyDescent="0.25">
      <c r="A103" s="18" t="s">
        <v>50</v>
      </c>
      <c r="B103" s="45">
        <f>+B97+B85</f>
        <v>21635.531854000001</v>
      </c>
      <c r="C103" s="45">
        <f t="shared" si="1"/>
        <v>1453</v>
      </c>
      <c r="D103" s="45">
        <f>+D85</f>
        <v>76</v>
      </c>
      <c r="E103" s="43">
        <f>+E85+E97</f>
        <v>1810.209071</v>
      </c>
      <c r="F103" s="22">
        <f>SUM(B103:E103)</f>
        <v>24974.740925000002</v>
      </c>
    </row>
    <row r="104" spans="1:7" x14ac:dyDescent="0.25">
      <c r="A104" s="61"/>
      <c r="B104" s="61"/>
      <c r="C104" s="61"/>
      <c r="D104" s="61"/>
      <c r="E104" s="61"/>
      <c r="F104" s="61"/>
      <c r="G104" s="61"/>
    </row>
    <row r="105" spans="1:7" x14ac:dyDescent="0.25">
      <c r="A105" s="60" t="s">
        <v>57</v>
      </c>
      <c r="B105" s="60"/>
      <c r="C105" s="60"/>
      <c r="D105" s="60"/>
      <c r="E105" s="60"/>
      <c r="F105" s="60"/>
    </row>
    <row r="106" spans="1:7" x14ac:dyDescent="0.25">
      <c r="A106" s="65" t="s">
        <v>58</v>
      </c>
      <c r="B106" s="65"/>
      <c r="C106" s="65"/>
      <c r="D106" s="65"/>
      <c r="E106" s="65"/>
      <c r="F106" s="65"/>
    </row>
    <row r="107" spans="1:7" x14ac:dyDescent="0.25">
      <c r="A107" s="14" t="s">
        <v>59</v>
      </c>
      <c r="B107" s="13">
        <v>2.8340261809068541</v>
      </c>
      <c r="C107" s="13">
        <v>2.5499999999999998</v>
      </c>
      <c r="D107" s="30">
        <v>2.9008320251177393</v>
      </c>
      <c r="E107" s="13">
        <v>2.54</v>
      </c>
      <c r="F107" s="13">
        <f>AVERAGE(B107:E107)</f>
        <v>2.7062145515061484</v>
      </c>
    </row>
    <row r="108" spans="1:7" x14ac:dyDescent="0.25">
      <c r="A108" s="14" t="s">
        <v>60</v>
      </c>
      <c r="B108" s="13">
        <v>2.3178868630200529</v>
      </c>
      <c r="C108" s="13">
        <v>2.65</v>
      </c>
      <c r="D108" s="30">
        <v>2.7593413173652692</v>
      </c>
      <c r="E108" s="13">
        <v>2.66</v>
      </c>
      <c r="F108" s="13">
        <f>AVERAGE(B108:E108)</f>
        <v>2.5968070450963303</v>
      </c>
    </row>
    <row r="109" spans="1:7" x14ac:dyDescent="0.25">
      <c r="A109" s="14" t="s">
        <v>61</v>
      </c>
      <c r="B109" s="13">
        <v>2.0433650524547264</v>
      </c>
      <c r="C109" s="13">
        <v>2.65</v>
      </c>
      <c r="D109" s="30">
        <v>2.6455696202531644</v>
      </c>
      <c r="E109" s="13">
        <v>2.66</v>
      </c>
      <c r="F109" s="13">
        <f>AVERAGE(B109:E109)</f>
        <v>2.4997336681769728</v>
      </c>
    </row>
    <row r="110" spans="1:7" x14ac:dyDescent="0.25">
      <c r="A110" s="65" t="s">
        <v>62</v>
      </c>
      <c r="B110" s="65"/>
      <c r="C110" s="65"/>
      <c r="D110" s="65"/>
      <c r="E110" s="65"/>
      <c r="F110" s="65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2.0967741935483839</v>
      </c>
      <c r="C112" s="13">
        <v>2.16</v>
      </c>
      <c r="D112" s="30">
        <v>2.1</v>
      </c>
      <c r="E112" s="13">
        <v>2.16</v>
      </c>
      <c r="F112" s="13">
        <f>AVERAGE(B112:E112)</f>
        <v>2.1291935483870961</v>
      </c>
    </row>
    <row r="113" spans="1:8" x14ac:dyDescent="0.25">
      <c r="A113" s="14" t="s">
        <v>61</v>
      </c>
      <c r="B113" s="13">
        <v>2.0132575757575708</v>
      </c>
      <c r="C113" s="13">
        <v>2.16</v>
      </c>
      <c r="D113" s="30">
        <v>2.15</v>
      </c>
      <c r="E113" s="13">
        <v>2.16</v>
      </c>
      <c r="F113" s="13">
        <f>AVERAGE(B113:E113)</f>
        <v>2.1208143939393929</v>
      </c>
    </row>
    <row r="114" spans="1:8" x14ac:dyDescent="0.25">
      <c r="A114" s="61"/>
      <c r="B114" s="61"/>
      <c r="C114" s="61"/>
      <c r="D114" s="61"/>
      <c r="E114" s="61"/>
      <c r="F114" s="61"/>
      <c r="G114" s="61"/>
      <c r="H114" s="61"/>
    </row>
    <row r="115" spans="1:8" x14ac:dyDescent="0.25">
      <c r="A115" s="65" t="s">
        <v>63</v>
      </c>
      <c r="B115" s="65"/>
      <c r="C115" s="65"/>
      <c r="D115" s="65"/>
      <c r="E115" s="65"/>
      <c r="F115" s="65"/>
    </row>
    <row r="116" spans="1:8" x14ac:dyDescent="0.25">
      <c r="A116" s="14" t="s">
        <v>59</v>
      </c>
      <c r="B116" s="13">
        <v>1.493867334167708</v>
      </c>
      <c r="C116" s="13">
        <v>1.79</v>
      </c>
      <c r="D116" s="31">
        <v>2.0548717948717949</v>
      </c>
      <c r="E116" s="13">
        <v>1.78</v>
      </c>
      <c r="F116" s="13">
        <f>AVERAGE(B116:E116)</f>
        <v>1.7796847822598758</v>
      </c>
    </row>
    <row r="117" spans="1:8" x14ac:dyDescent="0.25">
      <c r="A117" s="14" t="s">
        <v>60</v>
      </c>
      <c r="B117" s="13">
        <v>1.7576212319790732</v>
      </c>
      <c r="C117" s="13">
        <v>1.79</v>
      </c>
      <c r="D117" s="31">
        <v>2.023076923076923</v>
      </c>
      <c r="E117" s="13">
        <v>1.78</v>
      </c>
      <c r="F117" s="13">
        <f>AVERAGE(B117:E117)</f>
        <v>1.8376745387639992</v>
      </c>
    </row>
    <row r="118" spans="1:8" x14ac:dyDescent="0.25">
      <c r="A118" s="14" t="s">
        <v>61</v>
      </c>
      <c r="B118" s="13">
        <v>1.7128585995921144</v>
      </c>
      <c r="C118" s="13">
        <v>1.74</v>
      </c>
      <c r="D118" s="31">
        <v>2.0399430740037952</v>
      </c>
      <c r="E118" s="13">
        <v>1.99</v>
      </c>
      <c r="F118" s="13">
        <f>AVERAGE(B118:E118)</f>
        <v>1.8707004183989775</v>
      </c>
    </row>
    <row r="119" spans="1:8" x14ac:dyDescent="0.25">
      <c r="A119" s="62" t="s">
        <v>64</v>
      </c>
      <c r="B119" s="63"/>
      <c r="C119" s="63"/>
      <c r="D119" s="63"/>
      <c r="E119" s="63"/>
      <c r="F119" s="64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1.34</v>
      </c>
      <c r="E121" s="13">
        <v>1.43</v>
      </c>
      <c r="F121" s="13">
        <f>AVERAGE(B121:E121)</f>
        <v>1.385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1"/>
      <c r="B123" s="61"/>
      <c r="C123" s="61"/>
      <c r="D123" s="61"/>
      <c r="E123" s="61"/>
      <c r="F123" s="61"/>
      <c r="G123" s="61"/>
    </row>
    <row r="124" spans="1:8" x14ac:dyDescent="0.25">
      <c r="A124" s="66" t="s">
        <v>65</v>
      </c>
      <c r="B124" s="67"/>
      <c r="C124" s="67"/>
      <c r="D124" s="67"/>
      <c r="E124" s="67"/>
      <c r="F124" s="68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6" t="s">
        <v>67</v>
      </c>
      <c r="B126" s="67"/>
      <c r="C126" s="67"/>
      <c r="D126" s="67"/>
      <c r="E126" s="67"/>
      <c r="F126" s="68"/>
    </row>
    <row r="127" spans="1:8" x14ac:dyDescent="0.25">
      <c r="A127" s="3" t="s">
        <v>68</v>
      </c>
      <c r="B127" s="13">
        <v>1.95</v>
      </c>
      <c r="C127" s="37">
        <v>2.0875300000000001</v>
      </c>
      <c r="D127" s="33">
        <v>2.320134202564911</v>
      </c>
      <c r="E127" s="4">
        <v>0</v>
      </c>
      <c r="F127" s="11">
        <f>AVERAGE(B127:D127)</f>
        <v>2.1192214008549706</v>
      </c>
    </row>
    <row r="128" spans="1:8" x14ac:dyDescent="0.25">
      <c r="A128" s="73"/>
      <c r="B128" s="73"/>
      <c r="C128" s="73"/>
      <c r="D128" s="73"/>
      <c r="E128" s="73"/>
      <c r="F128" s="73"/>
      <c r="G128" s="73"/>
    </row>
    <row r="129" spans="1:8" x14ac:dyDescent="0.25">
      <c r="A129" s="60" t="s">
        <v>69</v>
      </c>
      <c r="B129" s="60"/>
      <c r="C129" s="60"/>
      <c r="D129" s="60"/>
      <c r="E129" s="60"/>
      <c r="F129" s="60"/>
    </row>
    <row r="130" spans="1:8" x14ac:dyDescent="0.25">
      <c r="A130" s="14" t="s">
        <v>70</v>
      </c>
      <c r="B130" s="27">
        <v>238959</v>
      </c>
      <c r="C130" s="27">
        <v>3447</v>
      </c>
      <c r="D130" s="27">
        <v>8140</v>
      </c>
      <c r="E130" s="27">
        <v>772</v>
      </c>
      <c r="F130" s="27">
        <f>SUM(B130:E130)</f>
        <v>251318</v>
      </c>
    </row>
    <row r="131" spans="1:8" x14ac:dyDescent="0.25">
      <c r="A131" s="14" t="s">
        <v>71</v>
      </c>
      <c r="B131" s="27">
        <v>156324.74048499999</v>
      </c>
      <c r="C131" s="27">
        <v>3738</v>
      </c>
      <c r="D131" s="27">
        <v>974</v>
      </c>
      <c r="E131" s="27">
        <v>727.15954599999998</v>
      </c>
      <c r="F131" s="11">
        <f>SUM(B131:E131)</f>
        <v>161763.900031</v>
      </c>
    </row>
    <row r="132" spans="1:8" x14ac:dyDescent="0.25">
      <c r="A132" s="61"/>
      <c r="B132" s="61"/>
      <c r="C132" s="61"/>
      <c r="D132" s="61"/>
      <c r="E132" s="61"/>
      <c r="F132" s="61"/>
      <c r="G132" s="61"/>
    </row>
    <row r="133" spans="1:8" x14ac:dyDescent="0.25">
      <c r="A133" s="60" t="s">
        <v>72</v>
      </c>
      <c r="B133" s="60"/>
      <c r="C133" s="60"/>
      <c r="D133" s="60"/>
      <c r="E133" s="60"/>
      <c r="F133" s="60"/>
    </row>
    <row r="134" spans="1:8" x14ac:dyDescent="0.25">
      <c r="A134" s="14" t="s">
        <v>73</v>
      </c>
      <c r="B134" s="27">
        <v>774144</v>
      </c>
      <c r="C134" s="27">
        <v>385835</v>
      </c>
      <c r="D134" s="27">
        <v>138002</v>
      </c>
      <c r="E134" s="27">
        <v>290470</v>
      </c>
      <c r="F134" s="27">
        <f>SUM(B134:E134)</f>
        <v>1588451</v>
      </c>
    </row>
    <row r="135" spans="1:8" x14ac:dyDescent="0.25">
      <c r="A135" s="61"/>
      <c r="B135" s="61"/>
      <c r="C135" s="61"/>
      <c r="D135" s="61"/>
      <c r="E135" s="61"/>
      <c r="F135" s="61"/>
      <c r="G135" s="61"/>
    </row>
    <row r="136" spans="1:8" ht="21" x14ac:dyDescent="0.35">
      <c r="A136" s="69" t="s">
        <v>74</v>
      </c>
      <c r="B136" s="69"/>
      <c r="C136" s="69"/>
      <c r="D136" s="69"/>
      <c r="E136" s="69"/>
      <c r="F136" s="69"/>
    </row>
    <row r="137" spans="1:8" x14ac:dyDescent="0.25">
      <c r="A137" s="60" t="s">
        <v>75</v>
      </c>
      <c r="B137" s="60"/>
      <c r="C137" s="60"/>
      <c r="D137" s="60"/>
      <c r="E137" s="60"/>
      <c r="F137" s="60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15362</v>
      </c>
      <c r="F138" s="27">
        <f>SUM(B138:E138)</f>
        <v>15362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315</v>
      </c>
      <c r="F139" s="27">
        <f>SUM(B139:E139)</f>
        <v>315</v>
      </c>
      <c r="G139" s="7"/>
      <c r="H139" s="7"/>
    </row>
    <row r="140" spans="1:8" x14ac:dyDescent="0.25">
      <c r="A140" s="61"/>
      <c r="B140" s="61"/>
      <c r="C140" s="61"/>
      <c r="D140" s="61"/>
      <c r="E140" s="61"/>
      <c r="F140" s="61"/>
      <c r="G140" s="61"/>
      <c r="H140" s="7"/>
    </row>
    <row r="141" spans="1:8" x14ac:dyDescent="0.25">
      <c r="A141" s="61"/>
      <c r="B141" s="61"/>
      <c r="C141" s="61"/>
      <c r="D141" s="61"/>
      <c r="E141" s="61"/>
      <c r="F141" s="61"/>
      <c r="G141" s="61"/>
    </row>
    <row r="142" spans="1:8" ht="21" x14ac:dyDescent="0.35">
      <c r="A142" s="70" t="s">
        <v>78</v>
      </c>
      <c r="B142" s="71"/>
      <c r="C142" s="71"/>
      <c r="D142" s="71"/>
      <c r="E142" s="71"/>
      <c r="F142" s="72"/>
    </row>
    <row r="143" spans="1:8" x14ac:dyDescent="0.25">
      <c r="A143" s="66" t="s">
        <v>79</v>
      </c>
      <c r="B143" s="67"/>
      <c r="C143" s="67"/>
      <c r="D143" s="67"/>
      <c r="E143" s="67"/>
      <c r="F143" s="68"/>
    </row>
    <row r="144" spans="1:8" x14ac:dyDescent="0.25">
      <c r="A144" s="61"/>
      <c r="B144" s="61"/>
      <c r="C144" s="61"/>
      <c r="D144" s="61"/>
      <c r="E144" s="61"/>
      <c r="F144" s="61"/>
      <c r="G144" s="61"/>
    </row>
    <row r="145" spans="1:7" x14ac:dyDescent="0.25">
      <c r="A145" s="65" t="s">
        <v>80</v>
      </c>
      <c r="B145" s="65"/>
      <c r="C145" s="65"/>
      <c r="D145" s="65"/>
      <c r="E145" s="65"/>
      <c r="F145" s="65"/>
    </row>
    <row r="146" spans="1:7" x14ac:dyDescent="0.25">
      <c r="A146" s="14" t="s">
        <v>81</v>
      </c>
      <c r="B146" s="27">
        <v>0</v>
      </c>
      <c r="C146" s="27">
        <v>7378</v>
      </c>
      <c r="D146" s="27">
        <v>0</v>
      </c>
      <c r="E146" s="27">
        <v>1910</v>
      </c>
      <c r="F146" s="27">
        <f>SUM(B146:E146)</f>
        <v>9288</v>
      </c>
    </row>
    <row r="147" spans="1:7" x14ac:dyDescent="0.25">
      <c r="A147" s="14" t="s">
        <v>82</v>
      </c>
      <c r="B147" s="27">
        <v>0</v>
      </c>
      <c r="C147" s="27">
        <v>169.80799999999999</v>
      </c>
      <c r="D147" s="27">
        <v>0</v>
      </c>
      <c r="E147" s="27">
        <v>20.647749999999998</v>
      </c>
      <c r="F147" s="11">
        <f>SUM(B147:E147)</f>
        <v>190.45574999999999</v>
      </c>
    </row>
    <row r="148" spans="1:7" x14ac:dyDescent="0.25">
      <c r="A148" s="61"/>
      <c r="B148" s="61"/>
      <c r="C148" s="61"/>
      <c r="D148" s="61"/>
      <c r="E148" s="61"/>
      <c r="F148" s="61"/>
      <c r="G148" s="61"/>
    </row>
    <row r="149" spans="1:7" x14ac:dyDescent="0.25">
      <c r="A149" s="65" t="s">
        <v>83</v>
      </c>
      <c r="B149" s="65"/>
      <c r="C149" s="65"/>
      <c r="D149" s="65"/>
      <c r="E149" s="65"/>
      <c r="F149" s="65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1"/>
      <c r="B152" s="61"/>
      <c r="C152" s="61"/>
      <c r="D152" s="61"/>
      <c r="E152" s="61"/>
      <c r="F152" s="61"/>
      <c r="G152" s="61"/>
    </row>
    <row r="153" spans="1:7" x14ac:dyDescent="0.25">
      <c r="A153" s="65" t="s">
        <v>86</v>
      </c>
      <c r="B153" s="65"/>
      <c r="C153" s="65"/>
      <c r="D153" s="65"/>
      <c r="E153" s="65"/>
      <c r="F153" s="65"/>
    </row>
    <row r="154" spans="1:7" x14ac:dyDescent="0.25">
      <c r="A154" s="14" t="s">
        <v>87</v>
      </c>
      <c r="B154" s="14">
        <v>0</v>
      </c>
      <c r="C154" s="27">
        <v>57</v>
      </c>
      <c r="D154" s="35">
        <v>0</v>
      </c>
      <c r="E154" s="34">
        <v>0</v>
      </c>
      <c r="F154" s="27">
        <f>SUM(B154:E154)</f>
        <v>57</v>
      </c>
      <c r="G154"/>
    </row>
    <row r="155" spans="1:7" x14ac:dyDescent="0.25">
      <c r="A155" s="14" t="s">
        <v>88</v>
      </c>
      <c r="B155" s="11">
        <v>0</v>
      </c>
      <c r="C155" s="27">
        <v>0.82</v>
      </c>
      <c r="D155" s="35">
        <v>0</v>
      </c>
      <c r="E155" s="34">
        <v>0</v>
      </c>
      <c r="F155" s="11">
        <f>SUM(B155:E155)</f>
        <v>0.82</v>
      </c>
      <c r="G155"/>
    </row>
    <row r="156" spans="1:7" x14ac:dyDescent="0.25">
      <c r="A156" s="61"/>
      <c r="B156" s="61"/>
      <c r="C156" s="61"/>
      <c r="D156" s="61"/>
      <c r="E156" s="61"/>
      <c r="F156" s="61"/>
      <c r="G156" s="61"/>
    </row>
    <row r="157" spans="1:7" x14ac:dyDescent="0.25">
      <c r="A157" s="62" t="s">
        <v>89</v>
      </c>
      <c r="B157" s="63"/>
      <c r="C157" s="63"/>
      <c r="D157" s="63"/>
      <c r="E157" s="63"/>
      <c r="F157" s="64"/>
    </row>
    <row r="158" spans="1:7" x14ac:dyDescent="0.25">
      <c r="A158" s="18" t="s">
        <v>90</v>
      </c>
      <c r="B158" s="19">
        <v>0</v>
      </c>
      <c r="C158" s="19">
        <v>7435</v>
      </c>
      <c r="D158" s="19">
        <v>0</v>
      </c>
      <c r="E158" s="19">
        <f>E146+E154</f>
        <v>1910</v>
      </c>
      <c r="F158" s="19">
        <f>SUM(B158:E158)</f>
        <v>9345</v>
      </c>
    </row>
    <row r="159" spans="1:7" x14ac:dyDescent="0.25">
      <c r="A159" s="18" t="s">
        <v>91</v>
      </c>
      <c r="B159" s="19">
        <v>0</v>
      </c>
      <c r="C159" s="19">
        <v>170.62799999999999</v>
      </c>
      <c r="D159" s="19">
        <v>0</v>
      </c>
      <c r="E159" s="19">
        <f>E147+E155</f>
        <v>20.647749999999998</v>
      </c>
      <c r="F159" s="22">
        <f>SUM(B159:E159)</f>
        <v>191.27574999999999</v>
      </c>
    </row>
    <row r="160" spans="1:7" x14ac:dyDescent="0.25">
      <c r="A160" s="61"/>
      <c r="B160" s="61"/>
      <c r="C160" s="61"/>
      <c r="D160" s="61"/>
      <c r="E160" s="61"/>
      <c r="F160" s="61"/>
      <c r="G160" s="61"/>
    </row>
    <row r="161" spans="1:7" x14ac:dyDescent="0.25">
      <c r="A161" s="60" t="s">
        <v>92</v>
      </c>
      <c r="B161" s="60"/>
      <c r="C161" s="60"/>
      <c r="D161" s="60"/>
      <c r="E161" s="60"/>
      <c r="F161" s="60"/>
    </row>
    <row r="162" spans="1:7" x14ac:dyDescent="0.25">
      <c r="A162" s="14" t="s">
        <v>87</v>
      </c>
      <c r="B162" s="27">
        <v>3357</v>
      </c>
      <c r="C162" s="27">
        <v>40645</v>
      </c>
      <c r="D162" s="27">
        <v>5905</v>
      </c>
      <c r="E162" s="27">
        <v>29313</v>
      </c>
      <c r="F162" s="27">
        <f>SUM(B162:E162)</f>
        <v>79220</v>
      </c>
    </row>
    <row r="163" spans="1:7" x14ac:dyDescent="0.25">
      <c r="A163" s="14" t="s">
        <v>88</v>
      </c>
      <c r="B163" s="27">
        <f>78634989/1000000</f>
        <v>78.634989000000004</v>
      </c>
      <c r="C163" s="27">
        <v>235.74725400000003</v>
      </c>
      <c r="D163" s="27">
        <v>92.857073999999997</v>
      </c>
      <c r="E163" s="27">
        <v>195.27461400000001</v>
      </c>
      <c r="F163" s="11">
        <f>SUM(B163:E163)</f>
        <v>602.51393100000007</v>
      </c>
    </row>
    <row r="164" spans="1:7" x14ac:dyDescent="0.25">
      <c r="A164" s="61"/>
      <c r="B164" s="61"/>
      <c r="C164" s="61"/>
      <c r="D164" s="61"/>
      <c r="E164" s="61"/>
      <c r="F164" s="61"/>
    </row>
    <row r="165" spans="1:7" x14ac:dyDescent="0.25">
      <c r="A165" s="66" t="s">
        <v>93</v>
      </c>
      <c r="B165" s="67"/>
      <c r="C165" s="67"/>
      <c r="D165" s="67"/>
      <c r="E165" s="67"/>
      <c r="F165" s="68"/>
    </row>
    <row r="166" spans="1:7" x14ac:dyDescent="0.25">
      <c r="A166" s="62" t="s">
        <v>94</v>
      </c>
      <c r="B166" s="63"/>
      <c r="C166" s="63"/>
      <c r="D166" s="63"/>
      <c r="E166" s="63"/>
      <c r="F166" s="64"/>
    </row>
    <row r="167" spans="1:7" x14ac:dyDescent="0.25">
      <c r="A167" s="14" t="s">
        <v>95</v>
      </c>
      <c r="B167" s="27">
        <v>896</v>
      </c>
      <c r="C167" s="27">
        <v>3594</v>
      </c>
      <c r="D167" s="27">
        <v>88</v>
      </c>
      <c r="E167" s="27">
        <v>649</v>
      </c>
      <c r="F167" s="27">
        <f>SUM(B167:E167)</f>
        <v>5227</v>
      </c>
    </row>
    <row r="168" spans="1:7" x14ac:dyDescent="0.25">
      <c r="A168" s="14" t="s">
        <v>96</v>
      </c>
      <c r="B168" s="27">
        <f>31360000/1000000</f>
        <v>31.36</v>
      </c>
      <c r="C168" s="27">
        <v>87.951739000000003</v>
      </c>
      <c r="D168" s="27">
        <v>3.4</v>
      </c>
      <c r="E168" s="27">
        <v>22.36</v>
      </c>
      <c r="F168" s="11">
        <f>SUM(B168:E168)</f>
        <v>145.07173900000001</v>
      </c>
    </row>
    <row r="169" spans="1:7" x14ac:dyDescent="0.25">
      <c r="A169" s="61"/>
      <c r="B169" s="61"/>
      <c r="C169" s="61"/>
      <c r="D169" s="61"/>
      <c r="E169" s="61"/>
      <c r="F169" s="61"/>
    </row>
    <row r="170" spans="1:7" x14ac:dyDescent="0.25">
      <c r="A170" s="62" t="s">
        <v>97</v>
      </c>
      <c r="B170" s="63"/>
      <c r="C170" s="63"/>
      <c r="D170" s="63"/>
      <c r="E170" s="63"/>
      <c r="F170" s="64"/>
    </row>
    <row r="171" spans="1:7" x14ac:dyDescent="0.25">
      <c r="A171" s="14" t="s">
        <v>98</v>
      </c>
      <c r="B171" s="27">
        <v>2085</v>
      </c>
      <c r="C171" s="27">
        <v>536</v>
      </c>
      <c r="D171" s="27">
        <v>129</v>
      </c>
      <c r="E171" s="27">
        <v>461</v>
      </c>
      <c r="F171" s="27">
        <f>SUM(B171:E171)</f>
        <v>3211</v>
      </c>
    </row>
    <row r="172" spans="1:7" x14ac:dyDescent="0.25">
      <c r="A172" s="14" t="s">
        <v>96</v>
      </c>
      <c r="B172" s="27">
        <f>72975000/1000000</f>
        <v>72.974999999999994</v>
      </c>
      <c r="C172" s="27">
        <v>11.445</v>
      </c>
      <c r="D172" s="27">
        <v>3.2</v>
      </c>
      <c r="E172" s="27">
        <v>10.090999999999999</v>
      </c>
      <c r="F172" s="11">
        <f>SUM(B172:E172)</f>
        <v>97.710999999999984</v>
      </c>
    </row>
    <row r="173" spans="1:7" x14ac:dyDescent="0.25">
      <c r="A173" s="61"/>
      <c r="B173" s="61"/>
      <c r="C173" s="61"/>
      <c r="D173" s="61"/>
      <c r="E173" s="61"/>
      <c r="F173" s="61"/>
      <c r="G173" s="61"/>
    </row>
    <row r="174" spans="1:7" x14ac:dyDescent="0.25">
      <c r="A174" s="62" t="s">
        <v>99</v>
      </c>
      <c r="B174" s="63"/>
      <c r="C174" s="63"/>
      <c r="D174" s="63"/>
      <c r="E174" s="63"/>
      <c r="F174" s="64"/>
    </row>
    <row r="175" spans="1:7" x14ac:dyDescent="0.25">
      <c r="A175" s="14" t="s">
        <v>98</v>
      </c>
      <c r="B175" s="27">
        <v>215</v>
      </c>
      <c r="C175" s="27">
        <v>348</v>
      </c>
      <c r="D175" s="27">
        <v>182</v>
      </c>
      <c r="E175" s="27">
        <v>39</v>
      </c>
      <c r="F175" s="27">
        <f>SUM(B175:E175)</f>
        <v>784</v>
      </c>
    </row>
    <row r="176" spans="1:7" x14ac:dyDescent="0.25">
      <c r="A176" s="14" t="s">
        <v>96</v>
      </c>
      <c r="B176" s="27">
        <f>22560000/1000000</f>
        <v>22.56</v>
      </c>
      <c r="C176" s="27">
        <v>37.049999999999997</v>
      </c>
      <c r="D176" s="27">
        <v>10.6</v>
      </c>
      <c r="E176" s="27">
        <v>3.91</v>
      </c>
      <c r="F176" s="11">
        <f>SUM(B176:E176)</f>
        <v>74.11999999999999</v>
      </c>
    </row>
    <row r="177" spans="1:7" x14ac:dyDescent="0.25">
      <c r="A177" s="61"/>
      <c r="B177" s="61"/>
      <c r="C177" s="61"/>
      <c r="D177" s="61"/>
      <c r="E177" s="61"/>
      <c r="F177" s="61"/>
      <c r="G177" s="61"/>
    </row>
    <row r="178" spans="1:7" x14ac:dyDescent="0.25">
      <c r="A178" s="62" t="s">
        <v>100</v>
      </c>
      <c r="B178" s="63"/>
      <c r="C178" s="63"/>
      <c r="D178" s="63"/>
      <c r="E178" s="63"/>
      <c r="F178" s="64"/>
    </row>
    <row r="179" spans="1:7" x14ac:dyDescent="0.25">
      <c r="A179" s="14" t="s">
        <v>98</v>
      </c>
      <c r="B179" s="27">
        <v>435</v>
      </c>
      <c r="C179" s="27">
        <v>184810</v>
      </c>
      <c r="D179" s="27">
        <v>0</v>
      </c>
      <c r="E179" s="27">
        <v>0</v>
      </c>
      <c r="F179" s="27">
        <f>SUM(B179:E179)</f>
        <v>185245</v>
      </c>
    </row>
    <row r="180" spans="1:7" x14ac:dyDescent="0.25">
      <c r="A180" s="14" t="s">
        <v>96</v>
      </c>
      <c r="B180" s="27">
        <f>17070000/1000000</f>
        <v>17.07</v>
      </c>
      <c r="C180" s="27">
        <v>3612.51590843242</v>
      </c>
      <c r="D180" s="27">
        <v>0</v>
      </c>
      <c r="E180" s="27">
        <v>0</v>
      </c>
      <c r="F180" s="11">
        <f>SUM(B180:E180)</f>
        <v>3629.5859084324202</v>
      </c>
    </row>
    <row r="181" spans="1:7" x14ac:dyDescent="0.25">
      <c r="A181" s="61"/>
      <c r="B181" s="61"/>
      <c r="C181" s="61"/>
      <c r="D181" s="61"/>
      <c r="E181" s="61"/>
      <c r="F181" s="61"/>
      <c r="G181" s="61"/>
    </row>
    <row r="182" spans="1:7" x14ac:dyDescent="0.25">
      <c r="A182" s="60" t="s">
        <v>101</v>
      </c>
      <c r="B182" s="60"/>
      <c r="C182" s="60"/>
      <c r="D182" s="60"/>
      <c r="E182" s="60"/>
      <c r="F182" s="60"/>
    </row>
    <row r="183" spans="1:7" x14ac:dyDescent="0.25">
      <c r="A183" s="18" t="s">
        <v>102</v>
      </c>
      <c r="B183" s="19">
        <f>+B179+B175+B171+B167</f>
        <v>3631</v>
      </c>
      <c r="C183" s="19">
        <v>189288</v>
      </c>
      <c r="D183" s="19">
        <v>399</v>
      </c>
      <c r="E183" s="19">
        <f>+E179+E175+E171+E167</f>
        <v>1149</v>
      </c>
      <c r="F183" s="19">
        <f>SUM(B183:E183)</f>
        <v>194467</v>
      </c>
    </row>
    <row r="184" spans="1:7" x14ac:dyDescent="0.25">
      <c r="A184" s="18" t="s">
        <v>103</v>
      </c>
      <c r="B184" s="19">
        <f>+B180+B176+B172+B168</f>
        <v>143.96499999999997</v>
      </c>
      <c r="C184" s="19">
        <v>3748.96264743242</v>
      </c>
      <c r="D184" s="19">
        <v>17.2</v>
      </c>
      <c r="E184" s="19">
        <f>+E180+E176+E172+E168</f>
        <v>36.360999999999997</v>
      </c>
      <c r="F184" s="22">
        <f>SUM(B184:E184)</f>
        <v>3946.4886474324198</v>
      </c>
    </row>
    <row r="185" spans="1:7" x14ac:dyDescent="0.25">
      <c r="A185" s="61"/>
      <c r="B185" s="61"/>
      <c r="C185" s="61"/>
      <c r="D185" s="61"/>
      <c r="E185" s="61"/>
      <c r="F185" s="61"/>
      <c r="G185" s="61"/>
    </row>
    <row r="186" spans="1:7" x14ac:dyDescent="0.25">
      <c r="A186" s="60" t="s">
        <v>104</v>
      </c>
      <c r="B186" s="60"/>
      <c r="C186" s="60"/>
      <c r="D186" s="60"/>
      <c r="E186" s="60"/>
      <c r="F186" s="60"/>
    </row>
    <row r="187" spans="1:7" x14ac:dyDescent="0.25">
      <c r="A187" s="14" t="s">
        <v>105</v>
      </c>
      <c r="B187" s="27">
        <v>4955</v>
      </c>
      <c r="C187" s="27">
        <v>2277</v>
      </c>
      <c r="D187" s="27">
        <v>85</v>
      </c>
      <c r="E187" s="27">
        <v>32372</v>
      </c>
      <c r="F187" s="27">
        <f>SUM(B187:E187)</f>
        <v>39689</v>
      </c>
    </row>
    <row r="188" spans="1:7" x14ac:dyDescent="0.25">
      <c r="A188" s="14" t="s">
        <v>106</v>
      </c>
      <c r="B188" s="27">
        <f>52601101/1000000</f>
        <v>52.601101</v>
      </c>
      <c r="C188" s="27">
        <v>148.40891399999998</v>
      </c>
      <c r="D188" s="27">
        <v>3.4</v>
      </c>
      <c r="E188" s="27">
        <v>252.30336399999999</v>
      </c>
      <c r="F188" s="11">
        <f>SUM(B188:E188)</f>
        <v>456.71337899999997</v>
      </c>
    </row>
    <row r="189" spans="1:7" x14ac:dyDescent="0.25">
      <c r="A189" s="61"/>
      <c r="B189" s="61"/>
      <c r="C189" s="61"/>
      <c r="D189" s="61"/>
      <c r="E189" s="61"/>
      <c r="F189" s="61"/>
      <c r="G189" s="61"/>
    </row>
    <row r="190" spans="1:7" x14ac:dyDescent="0.25">
      <c r="A190" s="60" t="s">
        <v>107</v>
      </c>
      <c r="B190" s="60"/>
      <c r="C190" s="60"/>
      <c r="D190" s="60"/>
      <c r="E190" s="60"/>
      <c r="F190" s="60"/>
    </row>
    <row r="191" spans="1:7" x14ac:dyDescent="0.25">
      <c r="A191" s="18" t="s">
        <v>108</v>
      </c>
      <c r="B191" s="19">
        <f>B187+B162+B183</f>
        <v>11943</v>
      </c>
      <c r="C191" s="19">
        <v>239645</v>
      </c>
      <c r="D191" s="19">
        <v>6389</v>
      </c>
      <c r="E191" s="19">
        <f>E158+E162+E183+E187</f>
        <v>64744</v>
      </c>
      <c r="F191" s="19">
        <f>SUM(B191:E191)</f>
        <v>322721</v>
      </c>
    </row>
    <row r="192" spans="1:7" x14ac:dyDescent="0.25">
      <c r="A192" s="18" t="s">
        <v>109</v>
      </c>
      <c r="B192" s="19">
        <f>B188+B163+B184</f>
        <v>275.20108999999997</v>
      </c>
      <c r="C192" s="19">
        <v>4303.7468154324197</v>
      </c>
      <c r="D192" s="19">
        <v>113.45707400000001</v>
      </c>
      <c r="E192" s="19">
        <f>E159+E184+E163+E188</f>
        <v>504.58672799999999</v>
      </c>
      <c r="F192" s="22">
        <f>SUM(B192:E192)</f>
        <v>5196.9917074324194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D1383-C21C-4323-A926-38BEB3AE8EBD}">
  <dimension ref="A1:BC196"/>
  <sheetViews>
    <sheetView topLeftCell="A173" zoomScaleNormal="100" workbookViewId="0">
      <selection activeCell="E184" sqref="E184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81" t="s">
        <v>1</v>
      </c>
      <c r="C2" s="82"/>
      <c r="D2" s="82"/>
      <c r="E2" s="82"/>
      <c r="F2" s="83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70" t="s">
        <v>7</v>
      </c>
      <c r="B4" s="71"/>
      <c r="C4" s="71"/>
      <c r="D4" s="71"/>
      <c r="E4" s="71"/>
      <c r="F4" s="72"/>
    </row>
    <row r="5" spans="1:6" x14ac:dyDescent="0.25">
      <c r="A5" s="66" t="s">
        <v>8</v>
      </c>
      <c r="B5" s="67"/>
      <c r="C5" s="67"/>
      <c r="D5" s="67"/>
      <c r="E5" s="67"/>
      <c r="F5" s="68"/>
    </row>
    <row r="6" spans="1:6" x14ac:dyDescent="0.25">
      <c r="A6" s="4" t="s">
        <v>9</v>
      </c>
      <c r="B6" s="12">
        <v>55394</v>
      </c>
      <c r="C6" s="12">
        <v>8230</v>
      </c>
      <c r="D6" s="12">
        <v>8274</v>
      </c>
      <c r="E6" s="12">
        <v>9863</v>
      </c>
      <c r="F6" s="12">
        <f>+E6+D6+C6+B6</f>
        <v>81761</v>
      </c>
    </row>
    <row r="7" spans="1:6" x14ac:dyDescent="0.25">
      <c r="A7" s="14" t="s">
        <v>10</v>
      </c>
      <c r="B7" s="12">
        <v>547</v>
      </c>
      <c r="C7" s="12">
        <v>254</v>
      </c>
      <c r="D7" s="12">
        <v>24</v>
      </c>
      <c r="E7" s="12">
        <v>152</v>
      </c>
      <c r="F7" s="12">
        <f>+E7+D7+C7+B7</f>
        <v>977</v>
      </c>
    </row>
    <row r="8" spans="1:6" x14ac:dyDescent="0.25">
      <c r="A8" s="18" t="s">
        <v>11</v>
      </c>
      <c r="B8" s="25">
        <v>55941</v>
      </c>
      <c r="C8" s="25">
        <v>8484</v>
      </c>
      <c r="D8" s="25">
        <v>8298</v>
      </c>
      <c r="E8" s="25">
        <v>10015</v>
      </c>
      <c r="F8" s="25">
        <f>+E8+D8+C8+B8</f>
        <v>82738</v>
      </c>
    </row>
    <row r="9" spans="1:6" x14ac:dyDescent="0.25">
      <c r="A9" s="61"/>
      <c r="B9" s="61"/>
      <c r="C9" s="61"/>
      <c r="D9" s="61"/>
      <c r="E9" s="61"/>
      <c r="F9" s="61"/>
    </row>
    <row r="10" spans="1:6" x14ac:dyDescent="0.25">
      <c r="A10" s="66" t="s">
        <v>12</v>
      </c>
      <c r="B10" s="67"/>
      <c r="C10" s="67"/>
      <c r="D10" s="67"/>
      <c r="E10" s="67"/>
      <c r="F10" s="68"/>
    </row>
    <row r="11" spans="1:6" x14ac:dyDescent="0.25">
      <c r="A11" s="62" t="s">
        <v>13</v>
      </c>
      <c r="B11" s="63"/>
      <c r="C11" s="63"/>
      <c r="D11" s="63"/>
      <c r="E11" s="63"/>
      <c r="F11" s="64"/>
    </row>
    <row r="12" spans="1:6" x14ac:dyDescent="0.25">
      <c r="A12" s="16" t="s">
        <v>14</v>
      </c>
      <c r="B12" s="12">
        <v>792226</v>
      </c>
      <c r="C12" s="12">
        <v>103508</v>
      </c>
      <c r="D12" s="12">
        <v>42766</v>
      </c>
      <c r="E12" s="12">
        <v>0</v>
      </c>
      <c r="F12" s="17">
        <f>SUM(B12:E12)</f>
        <v>938500</v>
      </c>
    </row>
    <row r="13" spans="1:6" x14ac:dyDescent="0.25">
      <c r="A13" s="16" t="s">
        <v>15</v>
      </c>
      <c r="B13" s="12">
        <v>2616276</v>
      </c>
      <c r="C13" s="12">
        <v>544292</v>
      </c>
      <c r="D13" s="12">
        <v>243631</v>
      </c>
      <c r="E13" s="12">
        <v>0</v>
      </c>
      <c r="F13" s="17">
        <f>SUM(B13:E13)</f>
        <v>3404199</v>
      </c>
    </row>
    <row r="14" spans="1:6" x14ac:dyDescent="0.25">
      <c r="A14" s="18" t="s">
        <v>16</v>
      </c>
      <c r="B14" s="25">
        <v>3408502</v>
      </c>
      <c r="C14" s="25">
        <v>982305</v>
      </c>
      <c r="D14" s="25">
        <v>286397</v>
      </c>
      <c r="E14" s="25">
        <v>155123</v>
      </c>
      <c r="F14" s="19">
        <f>SUM(B14:E14)</f>
        <v>4832327</v>
      </c>
    </row>
    <row r="15" spans="1:6" x14ac:dyDescent="0.25">
      <c r="A15" s="18" t="s">
        <v>17</v>
      </c>
      <c r="B15" s="25">
        <v>495729</v>
      </c>
      <c r="C15" s="25">
        <v>167849</v>
      </c>
      <c r="D15" s="25">
        <v>3247</v>
      </c>
      <c r="E15" s="25">
        <v>355703</v>
      </c>
      <c r="F15" s="19">
        <f>SUM(B15:E15)</f>
        <v>1022528</v>
      </c>
    </row>
    <row r="16" spans="1:6" x14ac:dyDescent="0.25">
      <c r="A16" s="18" t="s">
        <v>18</v>
      </c>
      <c r="B16" s="25">
        <v>3904231</v>
      </c>
      <c r="C16" s="25">
        <v>1150154</v>
      </c>
      <c r="D16" s="25">
        <v>289644</v>
      </c>
      <c r="E16" s="25">
        <v>510826</v>
      </c>
      <c r="F16" s="19">
        <f>SUM(B16:E16)</f>
        <v>5854855</v>
      </c>
    </row>
    <row r="17" spans="1:7" x14ac:dyDescent="0.25">
      <c r="A17" s="61"/>
      <c r="B17" s="61"/>
      <c r="C17" s="61"/>
      <c r="D17" s="61"/>
      <c r="E17" s="61"/>
      <c r="F17" s="61"/>
    </row>
    <row r="18" spans="1:7" x14ac:dyDescent="0.25">
      <c r="A18" s="62" t="s">
        <v>19</v>
      </c>
      <c r="B18" s="63"/>
      <c r="C18" s="63"/>
      <c r="D18" s="63"/>
      <c r="E18" s="63"/>
      <c r="F18" s="64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84"/>
      <c r="B20" s="84"/>
      <c r="C20" s="84"/>
      <c r="D20" s="84"/>
      <c r="E20" s="84"/>
      <c r="F20" s="84"/>
    </row>
    <row r="21" spans="1:7" x14ac:dyDescent="0.25">
      <c r="A21" s="18" t="s">
        <v>21</v>
      </c>
      <c r="B21" s="43">
        <v>3907736</v>
      </c>
      <c r="C21" s="43">
        <v>1150158</v>
      </c>
      <c r="D21" s="43">
        <v>289644</v>
      </c>
      <c r="E21" s="43">
        <f>E16</f>
        <v>510826</v>
      </c>
      <c r="F21" s="19">
        <f>SUM(B21:E21)</f>
        <v>5858364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25">
        <v>404398</v>
      </c>
      <c r="C24" s="25">
        <v>202074</v>
      </c>
      <c r="D24" s="25">
        <v>143684</v>
      </c>
      <c r="E24" s="25">
        <v>683488</v>
      </c>
      <c r="F24" s="19">
        <f>SUM(B24:E24)</f>
        <v>1433644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25">
        <f>+B24+B21</f>
        <v>4312134</v>
      </c>
      <c r="C27" s="25">
        <f>+C24+C21</f>
        <v>1352232</v>
      </c>
      <c r="D27" s="25">
        <f>+D21+D24</f>
        <v>433328</v>
      </c>
      <c r="E27" s="25">
        <f>+E24+E21</f>
        <v>1194314</v>
      </c>
      <c r="F27" s="19">
        <f>SUM(B27:E27)</f>
        <v>7292008</v>
      </c>
    </row>
    <row r="28" spans="1:7" x14ac:dyDescent="0.25">
      <c r="A28" s="61"/>
      <c r="B28" s="61"/>
      <c r="C28" s="61"/>
      <c r="D28" s="61"/>
      <c r="E28" s="61"/>
      <c r="F28" s="61"/>
      <c r="G28" s="61"/>
    </row>
    <row r="29" spans="1:7" x14ac:dyDescent="0.25">
      <c r="A29" s="66" t="s">
        <v>26</v>
      </c>
      <c r="B29" s="67"/>
      <c r="C29" s="67"/>
      <c r="D29" s="67"/>
      <c r="E29" s="67"/>
      <c r="F29" s="68"/>
    </row>
    <row r="30" spans="1:7" x14ac:dyDescent="0.25">
      <c r="A30" s="14" t="s">
        <v>27</v>
      </c>
      <c r="B30" s="27">
        <v>1292453</v>
      </c>
      <c r="C30" s="27">
        <v>137915</v>
      </c>
      <c r="D30" s="27">
        <v>79696</v>
      </c>
      <c r="E30" s="27">
        <v>211308</v>
      </c>
      <c r="F30" s="27">
        <f>SUM(B30:E30)</f>
        <v>1721372</v>
      </c>
    </row>
    <row r="31" spans="1:7" x14ac:dyDescent="0.25">
      <c r="A31" s="61"/>
      <c r="B31" s="61"/>
      <c r="C31" s="61"/>
      <c r="D31" s="61"/>
      <c r="E31" s="61"/>
      <c r="F31" s="61"/>
      <c r="G31" s="61"/>
    </row>
    <row r="32" spans="1:7" x14ac:dyDescent="0.25">
      <c r="A32" s="66" t="s">
        <v>28</v>
      </c>
      <c r="B32" s="67"/>
      <c r="C32" s="67"/>
      <c r="D32" s="67"/>
      <c r="E32" s="67"/>
      <c r="F32" s="68"/>
    </row>
    <row r="33" spans="1:8" x14ac:dyDescent="0.25">
      <c r="A33" s="14" t="s">
        <v>29</v>
      </c>
      <c r="B33" s="27">
        <v>4046396849921</v>
      </c>
      <c r="C33" s="27">
        <v>670337572537</v>
      </c>
      <c r="D33" s="27">
        <v>273541344659</v>
      </c>
      <c r="E33" s="27">
        <v>483109495446</v>
      </c>
      <c r="F33" s="27">
        <f>SUM(B33:E33)</f>
        <v>5473385262563</v>
      </c>
    </row>
    <row r="34" spans="1:8" x14ac:dyDescent="0.25">
      <c r="A34" s="14" t="s">
        <v>30</v>
      </c>
      <c r="B34" s="27">
        <v>175174378398</v>
      </c>
      <c r="C34" s="27">
        <v>71318934668</v>
      </c>
      <c r="D34" s="27">
        <v>43943129400</v>
      </c>
      <c r="E34" s="27">
        <v>199697265880</v>
      </c>
      <c r="F34" s="27">
        <f>SUM(B34:E34)</f>
        <v>490133708346</v>
      </c>
    </row>
    <row r="35" spans="1:8" x14ac:dyDescent="0.25">
      <c r="A35" s="39" t="s">
        <v>31</v>
      </c>
      <c r="B35" s="19">
        <v>4221571228319</v>
      </c>
      <c r="C35" s="19">
        <v>741656507205</v>
      </c>
      <c r="D35" s="19">
        <v>317484474059</v>
      </c>
      <c r="E35" s="19">
        <v>682806761326</v>
      </c>
      <c r="F35" s="40">
        <f>SUM(B35:E35)</f>
        <v>5963518970909</v>
      </c>
    </row>
    <row r="36" spans="1:8" x14ac:dyDescent="0.25">
      <c r="A36" s="77" t="s">
        <v>32</v>
      </c>
      <c r="B36" s="78"/>
      <c r="C36" s="78"/>
      <c r="D36" s="78"/>
      <c r="E36" s="78"/>
      <c r="F36" s="78"/>
      <c r="G36" s="79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70" t="s">
        <v>33</v>
      </c>
      <c r="B38" s="71"/>
      <c r="C38" s="71"/>
      <c r="D38" s="71"/>
      <c r="E38" s="71"/>
      <c r="F38" s="72"/>
    </row>
    <row r="39" spans="1:8" x14ac:dyDescent="0.25">
      <c r="A39" s="66" t="s">
        <v>34</v>
      </c>
      <c r="B39" s="67"/>
      <c r="C39" s="67"/>
      <c r="D39" s="67"/>
      <c r="E39" s="67"/>
      <c r="F39" s="68"/>
    </row>
    <row r="40" spans="1:8" x14ac:dyDescent="0.25">
      <c r="A40" s="14" t="s">
        <v>35</v>
      </c>
      <c r="B40" s="27">
        <v>710440</v>
      </c>
      <c r="C40" s="27">
        <v>118405</v>
      </c>
      <c r="D40" s="27">
        <v>52939</v>
      </c>
      <c r="E40" s="27">
        <v>78268</v>
      </c>
      <c r="F40" s="27">
        <f>SUM(B40:E40)</f>
        <v>960052</v>
      </c>
      <c r="G40" s="7"/>
      <c r="H40" s="7"/>
    </row>
    <row r="41" spans="1:8" x14ac:dyDescent="0.25">
      <c r="A41" s="14" t="s">
        <v>36</v>
      </c>
      <c r="B41" s="27">
        <f>4902803727/1000000</f>
        <v>4902.8037270000004</v>
      </c>
      <c r="C41" s="27">
        <v>1292.6314139999999</v>
      </c>
      <c r="D41" s="27">
        <v>559.9</v>
      </c>
      <c r="E41" s="12">
        <v>788.82050000000004</v>
      </c>
      <c r="F41" s="11">
        <f>SUM(B41:E41)</f>
        <v>7544.1556409999994</v>
      </c>
      <c r="G41" s="7"/>
      <c r="H41" s="7"/>
    </row>
    <row r="42" spans="1:8" x14ac:dyDescent="0.25">
      <c r="A42" s="61"/>
      <c r="B42" s="61"/>
      <c r="C42" s="61"/>
      <c r="D42" s="61"/>
      <c r="E42" s="61"/>
      <c r="F42" s="61"/>
      <c r="G42" s="61"/>
      <c r="H42" s="7"/>
    </row>
    <row r="43" spans="1:8" x14ac:dyDescent="0.25">
      <c r="A43" s="60" t="s">
        <v>37</v>
      </c>
      <c r="B43" s="60"/>
      <c r="C43" s="60"/>
      <c r="D43" s="60"/>
      <c r="E43" s="60"/>
      <c r="F43" s="60"/>
      <c r="H43" s="7"/>
    </row>
    <row r="44" spans="1:8" x14ac:dyDescent="0.25">
      <c r="A44" s="14" t="s">
        <v>38</v>
      </c>
      <c r="B44" s="27">
        <v>6</v>
      </c>
      <c r="C44" s="27">
        <v>7</v>
      </c>
      <c r="D44" s="27">
        <v>0</v>
      </c>
      <c r="E44" s="27">
        <v>1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4809973/1000000</f>
        <v>4.8099730000000003</v>
      </c>
      <c r="C45" s="27">
        <v>0.106919</v>
      </c>
      <c r="D45" s="27">
        <v>0</v>
      </c>
      <c r="E45" s="27">
        <v>0.121561</v>
      </c>
      <c r="F45" s="11">
        <f>SUM(B45:E45)</f>
        <v>5.0384530000000005</v>
      </c>
      <c r="G45" s="7"/>
      <c r="H45" s="7"/>
    </row>
    <row r="46" spans="1:8" x14ac:dyDescent="0.25">
      <c r="A46" s="61"/>
      <c r="B46" s="61"/>
      <c r="C46" s="61"/>
      <c r="D46" s="61"/>
      <c r="E46" s="61"/>
      <c r="F46" s="61"/>
      <c r="G46" s="61"/>
      <c r="H46" s="7"/>
    </row>
    <row r="47" spans="1:8" x14ac:dyDescent="0.25">
      <c r="A47" s="60" t="s">
        <v>40</v>
      </c>
      <c r="B47" s="60"/>
      <c r="C47" s="60"/>
      <c r="D47" s="60"/>
      <c r="E47" s="60"/>
      <c r="F47" s="60"/>
      <c r="H47" s="7"/>
    </row>
    <row r="48" spans="1:8" x14ac:dyDescent="0.25">
      <c r="A48" s="14" t="s">
        <v>41</v>
      </c>
      <c r="B48" s="27">
        <v>152709</v>
      </c>
      <c r="C48" s="27">
        <v>62626</v>
      </c>
      <c r="D48" s="27">
        <v>14342</v>
      </c>
      <c r="E48" s="27">
        <v>63932</v>
      </c>
      <c r="F48" s="27">
        <f>SUM(B48:E48)</f>
        <v>293609</v>
      </c>
      <c r="G48" s="7"/>
      <c r="H48" s="7"/>
    </row>
    <row r="49" spans="1:8" x14ac:dyDescent="0.25">
      <c r="A49" s="14" t="s">
        <v>42</v>
      </c>
      <c r="B49" s="27">
        <f>(86420473238+1677067595)/1000000</f>
        <v>88097.540833000006</v>
      </c>
      <c r="C49" s="27">
        <v>25857</v>
      </c>
      <c r="D49" s="27">
        <v>11297.963175000001</v>
      </c>
      <c r="E49" s="27">
        <v>12325.372341</v>
      </c>
      <c r="F49" s="11">
        <f>SUM(B49:E49)</f>
        <v>137577.876349</v>
      </c>
      <c r="G49" s="7"/>
      <c r="H49" s="7"/>
    </row>
    <row r="50" spans="1:8" x14ac:dyDescent="0.25">
      <c r="A50" s="61"/>
      <c r="B50" s="61"/>
      <c r="C50" s="61"/>
      <c r="D50" s="61"/>
      <c r="E50" s="61"/>
      <c r="F50" s="61"/>
      <c r="G50" s="61"/>
    </row>
    <row r="51" spans="1:8" ht="21" x14ac:dyDescent="0.35">
      <c r="A51" s="70" t="s">
        <v>43</v>
      </c>
      <c r="B51" s="71"/>
      <c r="C51" s="71"/>
      <c r="D51" s="71"/>
      <c r="E51" s="71"/>
      <c r="F51" s="72"/>
    </row>
    <row r="52" spans="1:8" x14ac:dyDescent="0.25">
      <c r="A52" s="80"/>
      <c r="B52" s="80"/>
      <c r="C52" s="80"/>
      <c r="D52" s="80"/>
      <c r="E52" s="80"/>
      <c r="F52" s="80"/>
      <c r="G52" s="80"/>
    </row>
    <row r="53" spans="1:8" x14ac:dyDescent="0.25">
      <c r="A53" s="60" t="s">
        <v>44</v>
      </c>
      <c r="B53" s="60"/>
      <c r="C53" s="60"/>
      <c r="D53" s="60"/>
      <c r="E53" s="60"/>
      <c r="F53" s="60"/>
    </row>
    <row r="54" spans="1:8" x14ac:dyDescent="0.25">
      <c r="A54" s="65" t="s">
        <v>45</v>
      </c>
      <c r="B54" s="65"/>
      <c r="C54" s="65"/>
      <c r="D54" s="65"/>
      <c r="E54" s="65"/>
      <c r="F54" s="65"/>
    </row>
    <row r="55" spans="1:8" x14ac:dyDescent="0.25">
      <c r="A55" s="14" t="s">
        <v>46</v>
      </c>
      <c r="B55" s="27">
        <v>111561</v>
      </c>
      <c r="C55" s="27">
        <v>4950</v>
      </c>
      <c r="D55" s="27">
        <v>1282</v>
      </c>
      <c r="E55" s="27">
        <v>4212</v>
      </c>
      <c r="F55" s="27">
        <f t="shared" ref="F55:F71" si="0">SUM(B55:E55)</f>
        <v>122005</v>
      </c>
    </row>
    <row r="56" spans="1:8" x14ac:dyDescent="0.25">
      <c r="A56" s="14" t="s">
        <v>47</v>
      </c>
      <c r="B56" s="27">
        <v>67789.043191999997</v>
      </c>
      <c r="C56" s="27">
        <v>7069.5792759999804</v>
      </c>
      <c r="D56" s="27">
        <v>1938.738699</v>
      </c>
      <c r="E56" s="27">
        <v>9362</v>
      </c>
      <c r="F56" s="27">
        <f t="shared" si="0"/>
        <v>86159.361166999966</v>
      </c>
    </row>
    <row r="57" spans="1:8" x14ac:dyDescent="0.25">
      <c r="A57" s="14" t="s">
        <v>48</v>
      </c>
      <c r="B57" s="27">
        <v>12.5717768754314</v>
      </c>
      <c r="C57" s="27">
        <v>38</v>
      </c>
      <c r="D57" s="27">
        <v>21.198127925117003</v>
      </c>
      <c r="E57" s="27">
        <v>27</v>
      </c>
      <c r="F57" s="27">
        <f>AVERAGE(B57:E57)</f>
        <v>24.692476200137101</v>
      </c>
    </row>
    <row r="58" spans="1:8" x14ac:dyDescent="0.25">
      <c r="A58" s="14" t="s">
        <v>49</v>
      </c>
      <c r="B58" s="27">
        <v>833415</v>
      </c>
      <c r="C58" s="27">
        <v>150102</v>
      </c>
      <c r="D58" s="27">
        <v>52561</v>
      </c>
      <c r="E58" s="27">
        <v>80850</v>
      </c>
      <c r="F58" s="27">
        <f t="shared" si="0"/>
        <v>1116928</v>
      </c>
    </row>
    <row r="59" spans="1:8" x14ac:dyDescent="0.25">
      <c r="A59" s="14" t="s">
        <v>50</v>
      </c>
      <c r="B59" s="27">
        <v>1828059.1581840001</v>
      </c>
      <c r="C59" s="27">
        <v>267773.34203</v>
      </c>
      <c r="D59" s="27">
        <v>109272.887214</v>
      </c>
      <c r="E59" s="27">
        <v>188641</v>
      </c>
      <c r="F59" s="11">
        <f t="shared" si="0"/>
        <v>2393746.3874280001</v>
      </c>
    </row>
    <row r="60" spans="1:8" x14ac:dyDescent="0.25">
      <c r="A60" s="65" t="s">
        <v>51</v>
      </c>
      <c r="B60" s="65"/>
      <c r="C60" s="65"/>
      <c r="D60" s="65"/>
      <c r="E60" s="65"/>
      <c r="F60" s="65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65" t="s">
        <v>52</v>
      </c>
      <c r="B66" s="65"/>
      <c r="C66" s="65"/>
      <c r="D66" s="65"/>
      <c r="E66" s="65"/>
      <c r="F66" s="65"/>
    </row>
    <row r="67" spans="1:7" x14ac:dyDescent="0.25">
      <c r="A67" s="14" t="s">
        <v>46</v>
      </c>
      <c r="B67" s="27">
        <v>5168</v>
      </c>
      <c r="C67" s="27">
        <v>1463</v>
      </c>
      <c r="D67" s="27">
        <v>1482</v>
      </c>
      <c r="E67" s="27">
        <v>9794</v>
      </c>
      <c r="F67" s="27">
        <f t="shared" si="0"/>
        <v>17907</v>
      </c>
    </row>
    <row r="68" spans="1:7" x14ac:dyDescent="0.25">
      <c r="A68" s="14" t="s">
        <v>47</v>
      </c>
      <c r="B68" s="27">
        <v>4027.7662810000002</v>
      </c>
      <c r="C68" s="27">
        <v>1619.635125</v>
      </c>
      <c r="D68" s="27">
        <v>1731.2255090000001</v>
      </c>
      <c r="E68" s="27">
        <v>12269</v>
      </c>
      <c r="F68" s="27">
        <f t="shared" si="0"/>
        <v>19647.626915000001</v>
      </c>
    </row>
    <row r="69" spans="1:7" x14ac:dyDescent="0.25">
      <c r="A69" s="14" t="s">
        <v>48</v>
      </c>
      <c r="B69" s="27">
        <v>37.608165634674897</v>
      </c>
      <c r="C69" s="27">
        <v>54</v>
      </c>
      <c r="D69" s="27">
        <v>50.521592442645073</v>
      </c>
      <c r="E69" s="27">
        <v>38</v>
      </c>
      <c r="F69" s="27">
        <f>AVERAGE(B69:E69)</f>
        <v>45.032439519329991</v>
      </c>
    </row>
    <row r="70" spans="1:7" x14ac:dyDescent="0.25">
      <c r="A70" s="14" t="s">
        <v>49</v>
      </c>
      <c r="B70" s="27">
        <v>137715</v>
      </c>
      <c r="C70" s="27">
        <v>87832</v>
      </c>
      <c r="D70" s="27">
        <v>66469</v>
      </c>
      <c r="E70" s="27">
        <v>272702</v>
      </c>
      <c r="F70" s="27">
        <f t="shared" si="0"/>
        <v>564718</v>
      </c>
    </row>
    <row r="71" spans="1:7" x14ac:dyDescent="0.25">
      <c r="A71" s="14" t="s">
        <v>50</v>
      </c>
      <c r="B71" s="27">
        <v>143866.536395</v>
      </c>
      <c r="C71" s="27">
        <v>104290.22515899999</v>
      </c>
      <c r="D71" s="27">
        <v>70230.709256000002</v>
      </c>
      <c r="E71" s="27">
        <v>257379</v>
      </c>
      <c r="F71" s="11">
        <f t="shared" si="0"/>
        <v>575766.47080999997</v>
      </c>
    </row>
    <row r="72" spans="1:7" x14ac:dyDescent="0.25">
      <c r="A72" s="74" t="s">
        <v>53</v>
      </c>
      <c r="B72" s="75"/>
      <c r="C72" s="75"/>
      <c r="D72" s="75"/>
      <c r="E72" s="75"/>
      <c r="F72" s="76"/>
    </row>
    <row r="73" spans="1:7" x14ac:dyDescent="0.25">
      <c r="A73" s="18" t="s">
        <v>54</v>
      </c>
      <c r="B73" s="19">
        <f>+B55+B67</f>
        <v>116729</v>
      </c>
      <c r="C73" s="19">
        <v>6413</v>
      </c>
      <c r="D73" s="19">
        <v>2764</v>
      </c>
      <c r="E73" s="19">
        <v>14006</v>
      </c>
      <c r="F73" s="19">
        <f>SUM(B73:E73)</f>
        <v>139912</v>
      </c>
    </row>
    <row r="74" spans="1:7" x14ac:dyDescent="0.25">
      <c r="A74" s="18" t="s">
        <v>47</v>
      </c>
      <c r="B74" s="19">
        <f>+B56+B68</f>
        <v>71816.809473000001</v>
      </c>
      <c r="C74" s="19">
        <v>8689.2144009999811</v>
      </c>
      <c r="D74" s="19">
        <v>3669.9642080000003</v>
      </c>
      <c r="E74" s="19">
        <v>21631</v>
      </c>
      <c r="F74" s="22">
        <f>SUM(B74:E74)</f>
        <v>105806.98808199998</v>
      </c>
    </row>
    <row r="75" spans="1:7" x14ac:dyDescent="0.25">
      <c r="A75" s="18" t="s">
        <v>48</v>
      </c>
      <c r="B75" s="19">
        <v>13.680225136855499</v>
      </c>
      <c r="C75" s="19">
        <v>30.666666666666668</v>
      </c>
      <c r="D75" s="19">
        <v>36.920767004341535</v>
      </c>
      <c r="E75" s="19">
        <v>32.5</v>
      </c>
      <c r="F75" s="19">
        <f>AVERAGE(B75:E75)</f>
        <v>28.441914701965928</v>
      </c>
    </row>
    <row r="76" spans="1:7" x14ac:dyDescent="0.25">
      <c r="A76" s="18" t="s">
        <v>49</v>
      </c>
      <c r="B76" s="19">
        <f>+B58+B70</f>
        <v>971130</v>
      </c>
      <c r="C76" s="19">
        <v>237934</v>
      </c>
      <c r="D76" s="19">
        <v>119030</v>
      </c>
      <c r="E76" s="19">
        <v>353552</v>
      </c>
      <c r="F76" s="19">
        <f>SUM(B76:E76)</f>
        <v>1681646</v>
      </c>
    </row>
    <row r="77" spans="1:7" x14ac:dyDescent="0.25">
      <c r="A77" s="18" t="s">
        <v>50</v>
      </c>
      <c r="B77" s="19">
        <f>+B59+B71</f>
        <v>1971925.6945790001</v>
      </c>
      <c r="C77" s="19">
        <v>372063.56718899996</v>
      </c>
      <c r="D77" s="19">
        <v>179503.59646999999</v>
      </c>
      <c r="E77" s="19">
        <v>446020</v>
      </c>
      <c r="F77" s="22">
        <f>SUM(B77:E77)</f>
        <v>2969512.8582380004</v>
      </c>
    </row>
    <row r="78" spans="1:7" x14ac:dyDescent="0.25">
      <c r="A78" s="61"/>
      <c r="B78" s="61"/>
      <c r="C78" s="61"/>
      <c r="D78" s="61"/>
      <c r="E78" s="61"/>
      <c r="F78" s="61"/>
      <c r="G78" s="61"/>
    </row>
    <row r="79" spans="1:7" x14ac:dyDescent="0.25">
      <c r="A79" s="66" t="s">
        <v>55</v>
      </c>
      <c r="B79" s="67"/>
      <c r="C79" s="67"/>
      <c r="D79" s="67"/>
      <c r="E79" s="67"/>
      <c r="F79" s="68"/>
    </row>
    <row r="80" spans="1:7" x14ac:dyDescent="0.25">
      <c r="A80" s="62" t="s">
        <v>45</v>
      </c>
      <c r="B80" s="63"/>
      <c r="C80" s="63"/>
      <c r="D80" s="63"/>
      <c r="E80" s="63"/>
      <c r="F80" s="64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992</v>
      </c>
      <c r="C84" s="24">
        <v>116</v>
      </c>
      <c r="D84" s="24">
        <v>6</v>
      </c>
      <c r="E84" s="24">
        <v>93</v>
      </c>
      <c r="F84" s="24">
        <f>SUM(B84:E84)</f>
        <v>1207</v>
      </c>
    </row>
    <row r="85" spans="1:6" x14ac:dyDescent="0.25">
      <c r="A85" s="14" t="s">
        <v>50</v>
      </c>
      <c r="B85" s="24">
        <v>21455.474724</v>
      </c>
      <c r="C85" s="24">
        <v>1447</v>
      </c>
      <c r="D85" s="24">
        <v>76</v>
      </c>
      <c r="E85" s="27">
        <v>1712.6401639999999</v>
      </c>
      <c r="F85" s="11">
        <f>SUM(B85:E85)</f>
        <v>24691.114888</v>
      </c>
    </row>
    <row r="86" spans="1:6" x14ac:dyDescent="0.25">
      <c r="A86" s="62" t="s">
        <v>51</v>
      </c>
      <c r="B86" s="63"/>
      <c r="C86" s="63"/>
      <c r="D86" s="63"/>
      <c r="E86" s="63"/>
      <c r="F86" s="64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62" t="s">
        <v>52</v>
      </c>
      <c r="B92" s="63"/>
      <c r="C92" s="63"/>
      <c r="D92" s="63"/>
      <c r="E92" s="63"/>
      <c r="F92" s="64"/>
    </row>
    <row r="93" spans="1:6" x14ac:dyDescent="0.25">
      <c r="A93" s="14" t="s">
        <v>46</v>
      </c>
      <c r="B93" s="27">
        <v>0</v>
      </c>
      <c r="C93" s="27">
        <v>0</v>
      </c>
      <c r="D93" s="27">
        <v>0</v>
      </c>
      <c r="E93" s="27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7">
        <v>0</v>
      </c>
      <c r="D94" s="27">
        <v>0</v>
      </c>
      <c r="E94" s="27">
        <v>0</v>
      </c>
      <c r="F94" s="27">
        <f>SUM(B94:E94)</f>
        <v>0</v>
      </c>
    </row>
    <row r="95" spans="1:6" x14ac:dyDescent="0.25">
      <c r="A95" s="14" t="s">
        <v>48</v>
      </c>
      <c r="B95" s="27">
        <v>0</v>
      </c>
      <c r="C95" s="27">
        <v>0</v>
      </c>
      <c r="D95" s="27">
        <v>0</v>
      </c>
      <c r="E95" s="27">
        <v>0</v>
      </c>
      <c r="F95" s="27">
        <f>AVERAGE(B95:E95)</f>
        <v>0</v>
      </c>
    </row>
    <row r="96" spans="1:6" x14ac:dyDescent="0.25">
      <c r="A96" s="14" t="s">
        <v>49</v>
      </c>
      <c r="B96" s="27">
        <v>10</v>
      </c>
      <c r="C96" s="27">
        <v>0</v>
      </c>
      <c r="D96" s="27">
        <v>0</v>
      </c>
      <c r="E96" s="27">
        <v>6</v>
      </c>
      <c r="F96" s="27">
        <f>SUM(B96:E96)</f>
        <v>16</v>
      </c>
    </row>
    <row r="97" spans="1:7" x14ac:dyDescent="0.25">
      <c r="A97" s="14" t="s">
        <v>50</v>
      </c>
      <c r="B97" s="27">
        <v>174.24418399999999</v>
      </c>
      <c r="C97" s="27">
        <v>0</v>
      </c>
      <c r="D97" s="27">
        <v>0</v>
      </c>
      <c r="E97" s="27">
        <v>79.871756000000005</v>
      </c>
      <c r="F97" s="11">
        <f>SUM(B97:E97)</f>
        <v>254.11593999999999</v>
      </c>
    </row>
    <row r="98" spans="1:7" x14ac:dyDescent="0.25">
      <c r="A98" s="74" t="s">
        <v>56</v>
      </c>
      <c r="B98" s="75"/>
      <c r="C98" s="75"/>
      <c r="D98" s="75"/>
      <c r="E98" s="75"/>
      <c r="F98" s="76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1002</v>
      </c>
      <c r="C102" s="45">
        <f t="shared" ref="C102:C103" si="1">+C96+C90+C84</f>
        <v>116</v>
      </c>
      <c r="D102" s="45">
        <f>+D84</f>
        <v>6</v>
      </c>
      <c r="E102" s="45">
        <f>+E96+E84</f>
        <v>99</v>
      </c>
      <c r="F102" s="19">
        <f>SUM(B102:E102)</f>
        <v>1223</v>
      </c>
    </row>
    <row r="103" spans="1:7" x14ac:dyDescent="0.25">
      <c r="A103" s="18" t="s">
        <v>50</v>
      </c>
      <c r="B103" s="45">
        <f>+B97+B85</f>
        <v>21629.718907999999</v>
      </c>
      <c r="C103" s="45">
        <f t="shared" si="1"/>
        <v>1447</v>
      </c>
      <c r="D103" s="45">
        <f>+D85</f>
        <v>76</v>
      </c>
      <c r="E103" s="43">
        <f>+E85+E97</f>
        <v>1792.5119199999999</v>
      </c>
      <c r="F103" s="22">
        <f>SUM(B103:E103)</f>
        <v>24945.230828</v>
      </c>
    </row>
    <row r="104" spans="1:7" x14ac:dyDescent="0.25">
      <c r="A104" s="61"/>
      <c r="B104" s="61"/>
      <c r="C104" s="61"/>
      <c r="D104" s="61"/>
      <c r="E104" s="61"/>
      <c r="F104" s="61"/>
      <c r="G104" s="61"/>
    </row>
    <row r="105" spans="1:7" x14ac:dyDescent="0.25">
      <c r="A105" s="60" t="s">
        <v>57</v>
      </c>
      <c r="B105" s="60"/>
      <c r="C105" s="60"/>
      <c r="D105" s="60"/>
      <c r="E105" s="60"/>
      <c r="F105" s="60"/>
    </row>
    <row r="106" spans="1:7" x14ac:dyDescent="0.25">
      <c r="A106" s="65" t="s">
        <v>58</v>
      </c>
      <c r="B106" s="65"/>
      <c r="C106" s="65"/>
      <c r="D106" s="65"/>
      <c r="E106" s="65"/>
      <c r="F106" s="65"/>
    </row>
    <row r="107" spans="1:7" x14ac:dyDescent="0.25">
      <c r="A107" s="14" t="s">
        <v>59</v>
      </c>
      <c r="B107" s="13">
        <v>2.8350662974273293</v>
      </c>
      <c r="C107" s="13">
        <v>2.5499999999999998</v>
      </c>
      <c r="D107" s="30">
        <v>2.8877096774193545</v>
      </c>
      <c r="E107" s="13">
        <v>2.54</v>
      </c>
      <c r="F107" s="13">
        <f>AVERAGE(B107:E107)</f>
        <v>2.7031939937116709</v>
      </c>
    </row>
    <row r="108" spans="1:7" x14ac:dyDescent="0.25">
      <c r="A108" s="14" t="s">
        <v>60</v>
      </c>
      <c r="B108" s="13">
        <v>2.3171633102579734</v>
      </c>
      <c r="C108" s="13">
        <v>2.65</v>
      </c>
      <c r="D108" s="30">
        <v>2.7230959752321979</v>
      </c>
      <c r="E108" s="13">
        <v>2.66</v>
      </c>
      <c r="F108" s="13">
        <f>AVERAGE(B108:E108)</f>
        <v>2.5875648213725428</v>
      </c>
    </row>
    <row r="109" spans="1:7" x14ac:dyDescent="0.25">
      <c r="A109" s="14" t="s">
        <v>61</v>
      </c>
      <c r="B109" s="13">
        <v>2.0160708201150821</v>
      </c>
      <c r="C109" s="13">
        <v>2.65</v>
      </c>
      <c r="D109" s="30">
        <v>2.5736363636363637</v>
      </c>
      <c r="E109" s="13">
        <v>2.65</v>
      </c>
      <c r="F109" s="13">
        <f>AVERAGE(B109:E109)</f>
        <v>2.4724267959378614</v>
      </c>
    </row>
    <row r="110" spans="1:7" x14ac:dyDescent="0.25">
      <c r="A110" s="65" t="s">
        <v>62</v>
      </c>
      <c r="B110" s="65"/>
      <c r="C110" s="65"/>
      <c r="D110" s="65"/>
      <c r="E110" s="65"/>
      <c r="F110" s="65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2.0999999999999965</v>
      </c>
      <c r="C112" s="13">
        <v>2.16</v>
      </c>
      <c r="D112" s="30">
        <v>2.1</v>
      </c>
      <c r="E112" s="13">
        <v>2.16</v>
      </c>
      <c r="F112" s="13">
        <f>AVERAGE(B112:E112)</f>
        <v>2.129999999999999</v>
      </c>
    </row>
    <row r="113" spans="1:8" x14ac:dyDescent="0.25">
      <c r="A113" s="14" t="s">
        <v>61</v>
      </c>
      <c r="B113" s="13">
        <v>2.0837364341085234</v>
      </c>
      <c r="C113" s="13">
        <v>2.16</v>
      </c>
      <c r="D113" s="30">
        <v>2.15</v>
      </c>
      <c r="E113" s="13">
        <v>2.16</v>
      </c>
      <c r="F113" s="13">
        <f>AVERAGE(B113:E113)</f>
        <v>2.138434108527131</v>
      </c>
    </row>
    <row r="114" spans="1:8" x14ac:dyDescent="0.25">
      <c r="A114" s="61"/>
      <c r="B114" s="61"/>
      <c r="C114" s="61"/>
      <c r="D114" s="61"/>
      <c r="E114" s="61"/>
      <c r="F114" s="61"/>
      <c r="G114" s="61"/>
      <c r="H114" s="61"/>
    </row>
    <row r="115" spans="1:8" x14ac:dyDescent="0.25">
      <c r="A115" s="65" t="s">
        <v>63</v>
      </c>
      <c r="B115" s="65"/>
      <c r="C115" s="65"/>
      <c r="D115" s="65"/>
      <c r="E115" s="65"/>
      <c r="F115" s="65"/>
    </row>
    <row r="116" spans="1:8" x14ac:dyDescent="0.25">
      <c r="A116" s="14" t="s">
        <v>59</v>
      </c>
      <c r="B116" s="13">
        <v>1.4843153846153736</v>
      </c>
      <c r="C116" s="13">
        <v>1.79</v>
      </c>
      <c r="D116" s="31">
        <v>2.0760000000000001</v>
      </c>
      <c r="E116" s="13">
        <v>1.78</v>
      </c>
      <c r="F116" s="13">
        <f>AVERAGE(B116:E116)</f>
        <v>1.7825788461538437</v>
      </c>
    </row>
    <row r="117" spans="1:8" x14ac:dyDescent="0.25">
      <c r="A117" s="14" t="s">
        <v>60</v>
      </c>
      <c r="B117" s="13">
        <v>1.7570502549162659</v>
      </c>
      <c r="C117" s="13">
        <v>1.79</v>
      </c>
      <c r="D117" s="31">
        <v>2.036</v>
      </c>
      <c r="E117" s="13">
        <v>1.78</v>
      </c>
      <c r="F117" s="13">
        <f>AVERAGE(B117:E117)</f>
        <v>1.8407625637290665</v>
      </c>
    </row>
    <row r="118" spans="1:8" x14ac:dyDescent="0.25">
      <c r="A118" s="14" t="s">
        <v>61</v>
      </c>
      <c r="B118" s="13">
        <v>1.7038450647249013</v>
      </c>
      <c r="C118" s="13">
        <v>1.74</v>
      </c>
      <c r="D118" s="31">
        <v>2.023591489361702</v>
      </c>
      <c r="E118" s="13">
        <v>1.99</v>
      </c>
      <c r="F118" s="13">
        <f>AVERAGE(B118:E118)</f>
        <v>1.8643591385216509</v>
      </c>
    </row>
    <row r="119" spans="1:8" x14ac:dyDescent="0.25">
      <c r="A119" s="62" t="s">
        <v>64</v>
      </c>
      <c r="B119" s="63"/>
      <c r="C119" s="63"/>
      <c r="D119" s="63"/>
      <c r="E119" s="63"/>
      <c r="F119" s="64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1"/>
      <c r="B123" s="61"/>
      <c r="C123" s="61"/>
      <c r="D123" s="61"/>
      <c r="E123" s="61"/>
      <c r="F123" s="61"/>
      <c r="G123" s="61"/>
    </row>
    <row r="124" spans="1:8" x14ac:dyDescent="0.25">
      <c r="A124" s="66" t="s">
        <v>65</v>
      </c>
      <c r="B124" s="67"/>
      <c r="C124" s="67"/>
      <c r="D124" s="67"/>
      <c r="E124" s="67"/>
      <c r="F124" s="68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6" t="s">
        <v>67</v>
      </c>
      <c r="B126" s="67"/>
      <c r="C126" s="67"/>
      <c r="D126" s="67"/>
      <c r="E126" s="67"/>
      <c r="F126" s="68"/>
    </row>
    <row r="127" spans="1:8" x14ac:dyDescent="0.25">
      <c r="A127" s="3" t="s">
        <v>68</v>
      </c>
      <c r="B127" s="13">
        <v>1.96</v>
      </c>
      <c r="C127" s="37">
        <v>2.0912329999999999</v>
      </c>
      <c r="D127" s="33">
        <v>2.3227429916404354</v>
      </c>
      <c r="E127" s="4">
        <v>0</v>
      </c>
      <c r="F127" s="11">
        <f>AVERAGE(B127:D127)</f>
        <v>2.1246586638801452</v>
      </c>
    </row>
    <row r="128" spans="1:8" x14ac:dyDescent="0.25">
      <c r="A128" s="73"/>
      <c r="B128" s="73"/>
      <c r="C128" s="73"/>
      <c r="D128" s="73"/>
      <c r="E128" s="73"/>
      <c r="F128" s="73"/>
      <c r="G128" s="73"/>
    </row>
    <row r="129" spans="1:8" x14ac:dyDescent="0.25">
      <c r="A129" s="60" t="s">
        <v>69</v>
      </c>
      <c r="B129" s="60"/>
      <c r="C129" s="60"/>
      <c r="D129" s="60"/>
      <c r="E129" s="60"/>
      <c r="F129" s="60"/>
    </row>
    <row r="130" spans="1:8" x14ac:dyDescent="0.25">
      <c r="A130" s="14" t="s">
        <v>70</v>
      </c>
      <c r="B130" s="27">
        <v>239263</v>
      </c>
      <c r="C130" s="27">
        <v>3447</v>
      </c>
      <c r="D130" s="27">
        <v>8133</v>
      </c>
      <c r="E130" s="27">
        <v>772</v>
      </c>
      <c r="F130" s="27">
        <f>SUM(B130:E130)</f>
        <v>251615</v>
      </c>
    </row>
    <row r="131" spans="1:8" x14ac:dyDescent="0.25">
      <c r="A131" s="14" t="s">
        <v>71</v>
      </c>
      <c r="B131" s="27">
        <v>157366.356397</v>
      </c>
      <c r="C131" s="27">
        <v>3772</v>
      </c>
      <c r="D131" s="27">
        <v>980</v>
      </c>
      <c r="E131" s="27">
        <v>713.47394499999996</v>
      </c>
      <c r="F131" s="11">
        <f>SUM(B131:E131)</f>
        <v>162831.830342</v>
      </c>
    </row>
    <row r="132" spans="1:8" x14ac:dyDescent="0.25">
      <c r="A132" s="61"/>
      <c r="B132" s="61"/>
      <c r="C132" s="61"/>
      <c r="D132" s="61"/>
      <c r="E132" s="61"/>
      <c r="F132" s="61"/>
      <c r="G132" s="61"/>
    </row>
    <row r="133" spans="1:8" x14ac:dyDescent="0.25">
      <c r="A133" s="60" t="s">
        <v>72</v>
      </c>
      <c r="B133" s="60"/>
      <c r="C133" s="60"/>
      <c r="D133" s="60"/>
      <c r="E133" s="60"/>
      <c r="F133" s="60"/>
    </row>
    <row r="134" spans="1:8" x14ac:dyDescent="0.25">
      <c r="A134" s="14" t="s">
        <v>73</v>
      </c>
      <c r="B134" s="27">
        <v>845029</v>
      </c>
      <c r="C134" s="27">
        <v>386280</v>
      </c>
      <c r="D134" s="27">
        <v>139845</v>
      </c>
      <c r="E134" s="27">
        <v>290470</v>
      </c>
      <c r="F134" s="27">
        <f>SUM(B134:E134)</f>
        <v>1661624</v>
      </c>
    </row>
    <row r="135" spans="1:8" x14ac:dyDescent="0.25">
      <c r="A135" s="61"/>
      <c r="B135" s="61"/>
      <c r="C135" s="61"/>
      <c r="D135" s="61"/>
      <c r="E135" s="61"/>
      <c r="F135" s="61"/>
      <c r="G135" s="61"/>
    </row>
    <row r="136" spans="1:8" ht="21" x14ac:dyDescent="0.35">
      <c r="A136" s="69" t="s">
        <v>74</v>
      </c>
      <c r="B136" s="69"/>
      <c r="C136" s="69"/>
      <c r="D136" s="69"/>
      <c r="E136" s="69"/>
      <c r="F136" s="69"/>
    </row>
    <row r="137" spans="1:8" x14ac:dyDescent="0.25">
      <c r="A137" s="60" t="s">
        <v>75</v>
      </c>
      <c r="B137" s="60"/>
      <c r="C137" s="60"/>
      <c r="D137" s="60"/>
      <c r="E137" s="60"/>
      <c r="F137" s="60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15324</v>
      </c>
      <c r="F138" s="27">
        <f>SUM(B138:E138)</f>
        <v>15324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303</v>
      </c>
      <c r="F139" s="27">
        <f>SUM(B139:E139)</f>
        <v>303</v>
      </c>
      <c r="G139" s="7"/>
      <c r="H139" s="7"/>
    </row>
    <row r="140" spans="1:8" x14ac:dyDescent="0.25">
      <c r="A140" s="61"/>
      <c r="B140" s="61"/>
      <c r="C140" s="61"/>
      <c r="D140" s="61"/>
      <c r="E140" s="61"/>
      <c r="F140" s="61"/>
      <c r="G140" s="61"/>
      <c r="H140" s="7"/>
    </row>
    <row r="141" spans="1:8" x14ac:dyDescent="0.25">
      <c r="A141" s="61"/>
      <c r="B141" s="61"/>
      <c r="C141" s="61"/>
      <c r="D141" s="61"/>
      <c r="E141" s="61"/>
      <c r="F141" s="61"/>
      <c r="G141" s="61"/>
    </row>
    <row r="142" spans="1:8" ht="21" x14ac:dyDescent="0.35">
      <c r="A142" s="70" t="s">
        <v>78</v>
      </c>
      <c r="B142" s="71"/>
      <c r="C142" s="71"/>
      <c r="D142" s="71"/>
      <c r="E142" s="71"/>
      <c r="F142" s="72"/>
    </row>
    <row r="143" spans="1:8" x14ac:dyDescent="0.25">
      <c r="A143" s="66" t="s">
        <v>79</v>
      </c>
      <c r="B143" s="67"/>
      <c r="C143" s="67"/>
      <c r="D143" s="67"/>
      <c r="E143" s="67"/>
      <c r="F143" s="68"/>
    </row>
    <row r="144" spans="1:8" x14ac:dyDescent="0.25">
      <c r="A144" s="61"/>
      <c r="B144" s="61"/>
      <c r="C144" s="61"/>
      <c r="D144" s="61"/>
      <c r="E144" s="61"/>
      <c r="F144" s="61"/>
      <c r="G144" s="61"/>
    </row>
    <row r="145" spans="1:7" x14ac:dyDescent="0.25">
      <c r="A145" s="65" t="s">
        <v>80</v>
      </c>
      <c r="B145" s="65"/>
      <c r="C145" s="65"/>
      <c r="D145" s="65"/>
      <c r="E145" s="65"/>
      <c r="F145" s="65"/>
    </row>
    <row r="146" spans="1:7" x14ac:dyDescent="0.25">
      <c r="A146" s="14" t="s">
        <v>81</v>
      </c>
      <c r="B146" s="27">
        <v>0</v>
      </c>
      <c r="C146" s="27">
        <v>2842</v>
      </c>
      <c r="D146" s="27"/>
      <c r="E146" s="27">
        <v>1388</v>
      </c>
      <c r="F146" s="27">
        <f>SUM(B146:E146)</f>
        <v>4230</v>
      </c>
    </row>
    <row r="147" spans="1:7" x14ac:dyDescent="0.25">
      <c r="A147" s="14" t="s">
        <v>82</v>
      </c>
      <c r="B147" s="27">
        <v>0</v>
      </c>
      <c r="C147" s="27">
        <v>64.81</v>
      </c>
      <c r="D147" s="27"/>
      <c r="E147" s="27">
        <v>14.6485</v>
      </c>
      <c r="F147" s="11">
        <f>SUM(B147:E147)</f>
        <v>79.458500000000001</v>
      </c>
    </row>
    <row r="148" spans="1:7" x14ac:dyDescent="0.25">
      <c r="A148" s="61"/>
      <c r="B148" s="61"/>
      <c r="C148" s="61"/>
      <c r="D148" s="61"/>
      <c r="E148" s="61"/>
      <c r="F148" s="61"/>
      <c r="G148" s="61"/>
    </row>
    <row r="149" spans="1:7" x14ac:dyDescent="0.25">
      <c r="A149" s="65" t="s">
        <v>83</v>
      </c>
      <c r="B149" s="65"/>
      <c r="C149" s="65"/>
      <c r="D149" s="65"/>
      <c r="E149" s="65"/>
      <c r="F149" s="65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1"/>
      <c r="B152" s="61"/>
      <c r="C152" s="61"/>
      <c r="D152" s="61"/>
      <c r="E152" s="61"/>
      <c r="F152" s="61"/>
      <c r="G152" s="61"/>
    </row>
    <row r="153" spans="1:7" x14ac:dyDescent="0.25">
      <c r="A153" s="65" t="s">
        <v>86</v>
      </c>
      <c r="B153" s="65"/>
      <c r="C153" s="65"/>
      <c r="D153" s="65"/>
      <c r="E153" s="65"/>
      <c r="F153" s="65"/>
    </row>
    <row r="154" spans="1:7" x14ac:dyDescent="0.25">
      <c r="A154" s="14" t="s">
        <v>87</v>
      </c>
      <c r="B154" s="27">
        <v>0</v>
      </c>
      <c r="C154" s="27">
        <v>68</v>
      </c>
      <c r="D154" s="27">
        <v>7599</v>
      </c>
      <c r="E154" s="27">
        <v>0</v>
      </c>
      <c r="F154" s="27">
        <f>SUM(B154:E154)</f>
        <v>7667</v>
      </c>
      <c r="G154"/>
    </row>
    <row r="155" spans="1:7" x14ac:dyDescent="0.25">
      <c r="A155" s="14" t="s">
        <v>88</v>
      </c>
      <c r="B155" s="27">
        <v>0</v>
      </c>
      <c r="C155" s="27">
        <v>0.88</v>
      </c>
      <c r="D155" s="27">
        <v>175.35300000000001</v>
      </c>
      <c r="E155" s="27">
        <v>0</v>
      </c>
      <c r="F155" s="11">
        <f>SUM(B155:E155)</f>
        <v>176.233</v>
      </c>
      <c r="G155"/>
    </row>
    <row r="156" spans="1:7" x14ac:dyDescent="0.25">
      <c r="A156" s="61"/>
      <c r="B156" s="61"/>
      <c r="C156" s="61"/>
      <c r="D156" s="61"/>
      <c r="E156" s="61"/>
      <c r="F156" s="61"/>
      <c r="G156" s="61"/>
    </row>
    <row r="157" spans="1:7" x14ac:dyDescent="0.25">
      <c r="A157" s="62" t="s">
        <v>89</v>
      </c>
      <c r="B157" s="63"/>
      <c r="C157" s="63"/>
      <c r="D157" s="63"/>
      <c r="E157" s="63"/>
      <c r="F157" s="64"/>
    </row>
    <row r="158" spans="1:7" x14ac:dyDescent="0.25">
      <c r="A158" s="18" t="s">
        <v>90</v>
      </c>
      <c r="B158" s="19">
        <v>0</v>
      </c>
      <c r="C158" s="19">
        <v>2910</v>
      </c>
      <c r="D158" s="19">
        <v>7599</v>
      </c>
      <c r="E158" s="19">
        <f>E146+E154</f>
        <v>1388</v>
      </c>
      <c r="F158" s="19">
        <f>SUM(B158:E158)</f>
        <v>11897</v>
      </c>
    </row>
    <row r="159" spans="1:7" x14ac:dyDescent="0.25">
      <c r="A159" s="18" t="s">
        <v>91</v>
      </c>
      <c r="B159" s="19">
        <v>0</v>
      </c>
      <c r="C159" s="19">
        <v>65.69</v>
      </c>
      <c r="D159" s="19">
        <v>175.35300000000001</v>
      </c>
      <c r="E159" s="19">
        <f>E147+E155</f>
        <v>14.6485</v>
      </c>
      <c r="F159" s="22">
        <f>SUM(B159:E159)</f>
        <v>255.69150000000002</v>
      </c>
    </row>
    <row r="160" spans="1:7" x14ac:dyDescent="0.25">
      <c r="A160" s="61"/>
      <c r="B160" s="61"/>
      <c r="C160" s="61"/>
      <c r="D160" s="61"/>
      <c r="E160" s="61"/>
      <c r="F160" s="61"/>
      <c r="G160" s="61"/>
    </row>
    <row r="161" spans="1:7" x14ac:dyDescent="0.25">
      <c r="A161" s="60" t="s">
        <v>92</v>
      </c>
      <c r="B161" s="60"/>
      <c r="C161" s="60"/>
      <c r="D161" s="60"/>
      <c r="E161" s="60"/>
      <c r="F161" s="60"/>
    </row>
    <row r="162" spans="1:7" x14ac:dyDescent="0.25">
      <c r="A162" s="14" t="s">
        <v>87</v>
      </c>
      <c r="B162" s="27">
        <v>2815</v>
      </c>
      <c r="C162" s="27">
        <v>36066</v>
      </c>
      <c r="D162" s="27">
        <v>5804</v>
      </c>
      <c r="E162" s="27">
        <v>28061</v>
      </c>
      <c r="F162" s="27">
        <f>SUM(B162:E162)</f>
        <v>72746</v>
      </c>
    </row>
    <row r="163" spans="1:7" x14ac:dyDescent="0.25">
      <c r="A163" s="14" t="s">
        <v>88</v>
      </c>
      <c r="B163" s="27">
        <f>66356618/1000000</f>
        <v>66.356617999999997</v>
      </c>
      <c r="C163" s="27">
        <v>251.08276699999999</v>
      </c>
      <c r="D163" s="27">
        <v>90.116249999999994</v>
      </c>
      <c r="E163" s="27">
        <v>189.93645900000001</v>
      </c>
      <c r="F163" s="11">
        <f>SUM(B163:E163)</f>
        <v>597.49209399999995</v>
      </c>
    </row>
    <row r="164" spans="1:7" x14ac:dyDescent="0.25">
      <c r="A164" s="61"/>
      <c r="B164" s="61"/>
      <c r="C164" s="61"/>
      <c r="D164" s="61"/>
      <c r="E164" s="61"/>
      <c r="F164" s="61"/>
    </row>
    <row r="165" spans="1:7" x14ac:dyDescent="0.25">
      <c r="A165" s="66" t="s">
        <v>93</v>
      </c>
      <c r="B165" s="67"/>
      <c r="C165" s="67"/>
      <c r="D165" s="67"/>
      <c r="E165" s="67"/>
      <c r="F165" s="68"/>
    </row>
    <row r="166" spans="1:7" x14ac:dyDescent="0.25">
      <c r="A166" s="62" t="s">
        <v>94</v>
      </c>
      <c r="B166" s="63"/>
      <c r="C166" s="63"/>
      <c r="D166" s="63"/>
      <c r="E166" s="63"/>
      <c r="F166" s="64"/>
    </row>
    <row r="167" spans="1:7" x14ac:dyDescent="0.25">
      <c r="A167" s="14" t="s">
        <v>95</v>
      </c>
      <c r="B167" s="27">
        <v>711</v>
      </c>
      <c r="C167" s="27">
        <v>4617</v>
      </c>
      <c r="D167" s="27">
        <v>91</v>
      </c>
      <c r="E167" s="27">
        <v>549</v>
      </c>
      <c r="F167" s="27">
        <f>SUM(B167:E167)</f>
        <v>5968</v>
      </c>
    </row>
    <row r="168" spans="1:7" x14ac:dyDescent="0.25">
      <c r="A168" s="14" t="s">
        <v>96</v>
      </c>
      <c r="B168" s="27">
        <f>24885000/1000000</f>
        <v>24.885000000000002</v>
      </c>
      <c r="C168" s="27">
        <v>104.100621</v>
      </c>
      <c r="D168" s="27">
        <v>3</v>
      </c>
      <c r="E168" s="27">
        <v>19.344999999999999</v>
      </c>
      <c r="F168" s="11">
        <f>SUM(B168:E168)</f>
        <v>151.33062100000001</v>
      </c>
    </row>
    <row r="169" spans="1:7" x14ac:dyDescent="0.25">
      <c r="A169" s="61"/>
      <c r="B169" s="61"/>
      <c r="C169" s="61"/>
      <c r="D169" s="61"/>
      <c r="E169" s="61"/>
      <c r="F169" s="61"/>
    </row>
    <row r="170" spans="1:7" x14ac:dyDescent="0.25">
      <c r="A170" s="62" t="s">
        <v>97</v>
      </c>
      <c r="B170" s="63"/>
      <c r="C170" s="63"/>
      <c r="D170" s="63"/>
      <c r="E170" s="63"/>
      <c r="F170" s="64"/>
    </row>
    <row r="171" spans="1:7" x14ac:dyDescent="0.25">
      <c r="A171" s="14" t="s">
        <v>98</v>
      </c>
      <c r="B171" s="27">
        <v>1907</v>
      </c>
      <c r="C171" s="27">
        <v>495</v>
      </c>
      <c r="D171" s="27">
        <v>94</v>
      </c>
      <c r="E171" s="27">
        <v>381</v>
      </c>
      <c r="F171" s="27">
        <f>SUM(B171:E171)</f>
        <v>2877</v>
      </c>
    </row>
    <row r="172" spans="1:7" x14ac:dyDescent="0.25">
      <c r="A172" s="14" t="s">
        <v>96</v>
      </c>
      <c r="B172" s="27">
        <f>66745000/1000000</f>
        <v>66.745000000000005</v>
      </c>
      <c r="C172" s="27">
        <v>10.436999999999999</v>
      </c>
      <c r="D172" s="27">
        <v>2.4</v>
      </c>
      <c r="E172" s="27">
        <v>8.2949999999999999</v>
      </c>
      <c r="F172" s="11">
        <f>SUM(B172:E172)</f>
        <v>87.87700000000001</v>
      </c>
    </row>
    <row r="173" spans="1:7" x14ac:dyDescent="0.25">
      <c r="A173" s="61"/>
      <c r="B173" s="61"/>
      <c r="C173" s="61"/>
      <c r="D173" s="61"/>
      <c r="E173" s="61"/>
      <c r="F173" s="61"/>
      <c r="G173" s="61"/>
    </row>
    <row r="174" spans="1:7" x14ac:dyDescent="0.25">
      <c r="A174" s="62" t="s">
        <v>99</v>
      </c>
      <c r="B174" s="63"/>
      <c r="C174" s="63"/>
      <c r="D174" s="63"/>
      <c r="E174" s="63"/>
      <c r="F174" s="64"/>
    </row>
    <row r="175" spans="1:7" x14ac:dyDescent="0.25">
      <c r="A175" s="14" t="s">
        <v>98</v>
      </c>
      <c r="B175" s="27">
        <v>205</v>
      </c>
      <c r="C175" s="27">
        <v>378</v>
      </c>
      <c r="D175" s="27">
        <v>180</v>
      </c>
      <c r="E175" s="27">
        <v>54</v>
      </c>
      <c r="F175" s="27">
        <f>SUM(B175:E175)</f>
        <v>817</v>
      </c>
    </row>
    <row r="176" spans="1:7" x14ac:dyDescent="0.25">
      <c r="A176" s="14" t="s">
        <v>96</v>
      </c>
      <c r="B176" s="27">
        <f>21580000/1000000</f>
        <v>21.58</v>
      </c>
      <c r="C176" s="27">
        <v>44.3</v>
      </c>
      <c r="D176" s="27">
        <v>10.35</v>
      </c>
      <c r="E176" s="27">
        <v>5.26</v>
      </c>
      <c r="F176" s="11">
        <f>SUM(B176:E176)</f>
        <v>81.489999999999995</v>
      </c>
    </row>
    <row r="177" spans="1:7" x14ac:dyDescent="0.25">
      <c r="A177" s="61"/>
      <c r="B177" s="61"/>
      <c r="C177" s="61"/>
      <c r="D177" s="61"/>
      <c r="E177" s="61"/>
      <c r="F177" s="61"/>
      <c r="G177" s="61"/>
    </row>
    <row r="178" spans="1:7" x14ac:dyDescent="0.25">
      <c r="A178" s="62" t="s">
        <v>100</v>
      </c>
      <c r="B178" s="63"/>
      <c r="C178" s="63"/>
      <c r="D178" s="63"/>
      <c r="E178" s="63"/>
      <c r="F178" s="64"/>
    </row>
    <row r="179" spans="1:7" x14ac:dyDescent="0.25">
      <c r="A179" s="14" t="s">
        <v>98</v>
      </c>
      <c r="B179" s="27">
        <v>311</v>
      </c>
      <c r="C179" s="27">
        <v>219585</v>
      </c>
      <c r="D179" s="27">
        <v>0</v>
      </c>
      <c r="E179" s="27">
        <v>0</v>
      </c>
      <c r="F179" s="27">
        <f>SUM(B179:E179)</f>
        <v>219896</v>
      </c>
    </row>
    <row r="180" spans="1:7" x14ac:dyDescent="0.25">
      <c r="A180" s="14" t="s">
        <v>96</v>
      </c>
      <c r="B180" s="27">
        <f>12680000/1000000</f>
        <v>12.68</v>
      </c>
      <c r="C180" s="27">
        <v>3600.6110270038002</v>
      </c>
      <c r="D180" s="27">
        <v>0</v>
      </c>
      <c r="E180" s="27">
        <v>0</v>
      </c>
      <c r="F180" s="11">
        <f>SUM(B180:E180)</f>
        <v>3613.2910270038001</v>
      </c>
    </row>
    <row r="181" spans="1:7" x14ac:dyDescent="0.25">
      <c r="A181" s="61"/>
      <c r="B181" s="61"/>
      <c r="C181" s="61"/>
      <c r="D181" s="61"/>
      <c r="E181" s="61"/>
      <c r="F181" s="61"/>
      <c r="G181" s="61"/>
    </row>
    <row r="182" spans="1:7" x14ac:dyDescent="0.25">
      <c r="A182" s="60" t="s">
        <v>101</v>
      </c>
      <c r="B182" s="60"/>
      <c r="C182" s="60"/>
      <c r="D182" s="60"/>
      <c r="E182" s="60"/>
      <c r="F182" s="60"/>
    </row>
    <row r="183" spans="1:7" x14ac:dyDescent="0.25">
      <c r="A183" s="18" t="s">
        <v>102</v>
      </c>
      <c r="B183" s="19">
        <f>+B179+B175+B171+B167</f>
        <v>3134</v>
      </c>
      <c r="C183" s="19">
        <v>225075</v>
      </c>
      <c r="D183" s="19">
        <v>365</v>
      </c>
      <c r="E183" s="19">
        <f>+E179+E175+E171+E167</f>
        <v>984</v>
      </c>
      <c r="F183" s="19">
        <f>SUM(B183:E183)</f>
        <v>229558</v>
      </c>
    </row>
    <row r="184" spans="1:7" x14ac:dyDescent="0.25">
      <c r="A184" s="18" t="s">
        <v>103</v>
      </c>
      <c r="B184" s="19">
        <f>+B180+B176+B172+B168</f>
        <v>125.89</v>
      </c>
      <c r="C184" s="19">
        <v>3759.4486480038004</v>
      </c>
      <c r="D184" s="19">
        <v>15.75</v>
      </c>
      <c r="E184" s="19">
        <f>+E180+E176+E172+E168</f>
        <v>32.9</v>
      </c>
      <c r="F184" s="22">
        <f>SUM(B184:E184)</f>
        <v>3933.9886480038003</v>
      </c>
    </row>
    <row r="185" spans="1:7" x14ac:dyDescent="0.25">
      <c r="A185" s="61"/>
      <c r="B185" s="61"/>
      <c r="C185" s="61"/>
      <c r="D185" s="61"/>
      <c r="E185" s="61"/>
      <c r="F185" s="61"/>
      <c r="G185" s="61"/>
    </row>
    <row r="186" spans="1:7" x14ac:dyDescent="0.25">
      <c r="A186" s="60" t="s">
        <v>104</v>
      </c>
      <c r="B186" s="60"/>
      <c r="C186" s="60"/>
      <c r="D186" s="60"/>
      <c r="E186" s="60"/>
      <c r="F186" s="60"/>
    </row>
    <row r="187" spans="1:7" x14ac:dyDescent="0.25">
      <c r="A187" s="14" t="s">
        <v>105</v>
      </c>
      <c r="B187" s="27">
        <v>3574</v>
      </c>
      <c r="C187" s="27">
        <v>3997</v>
      </c>
      <c r="D187" s="27">
        <v>75</v>
      </c>
      <c r="E187" s="27">
        <f>E162+E167+E171+E175+E158</f>
        <v>30433</v>
      </c>
      <c r="F187" s="27">
        <f>SUM(B187:E187)</f>
        <v>38079</v>
      </c>
    </row>
    <row r="188" spans="1:7" x14ac:dyDescent="0.25">
      <c r="A188" s="14" t="s">
        <v>106</v>
      </c>
      <c r="B188" s="27">
        <f>33474182/1000000</f>
        <v>33.474181999999999</v>
      </c>
      <c r="C188" s="27">
        <v>259.07761600000003</v>
      </c>
      <c r="D188" s="27">
        <v>2.96</v>
      </c>
      <c r="E188" s="27">
        <f>E163+E168+E172+E176+E159</f>
        <v>237.484959</v>
      </c>
      <c r="F188" s="11">
        <f>SUM(B188:E188)</f>
        <v>532.996757</v>
      </c>
    </row>
    <row r="189" spans="1:7" x14ac:dyDescent="0.25">
      <c r="A189" s="61"/>
      <c r="B189" s="61"/>
      <c r="C189" s="61"/>
      <c r="D189" s="61"/>
      <c r="E189" s="61"/>
      <c r="F189" s="61"/>
      <c r="G189" s="61"/>
    </row>
    <row r="190" spans="1:7" x14ac:dyDescent="0.25">
      <c r="A190" s="60" t="s">
        <v>107</v>
      </c>
      <c r="B190" s="60"/>
      <c r="C190" s="60"/>
      <c r="D190" s="60"/>
      <c r="E190" s="60"/>
      <c r="F190" s="60"/>
    </row>
    <row r="191" spans="1:7" x14ac:dyDescent="0.25">
      <c r="A191" s="18" t="s">
        <v>108</v>
      </c>
      <c r="B191" s="19">
        <f>B187+B162+B183</f>
        <v>9523</v>
      </c>
      <c r="C191" s="19">
        <v>268048</v>
      </c>
      <c r="D191" s="19">
        <v>13843</v>
      </c>
      <c r="E191" s="19">
        <f>E158+E162+E183+E187</f>
        <v>60866</v>
      </c>
      <c r="F191" s="19">
        <f>SUM(B191:E191)</f>
        <v>352280</v>
      </c>
    </row>
    <row r="192" spans="1:7" x14ac:dyDescent="0.25">
      <c r="A192" s="18" t="s">
        <v>109</v>
      </c>
      <c r="B192" s="19">
        <f>B188+B163+B184</f>
        <v>225.7208</v>
      </c>
      <c r="C192" s="19">
        <v>4335.2990310038003</v>
      </c>
      <c r="D192" s="19">
        <v>284.17925000000002</v>
      </c>
      <c r="E192" s="19">
        <f>E159+E184+E163+E188</f>
        <v>474.96991800000001</v>
      </c>
      <c r="F192" s="22">
        <f>SUM(B192:E192)</f>
        <v>5320.1689990038003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3C7F3-834D-4EBF-B22E-7E5DD978377C}">
  <dimension ref="A1:BD196"/>
  <sheetViews>
    <sheetView topLeftCell="A176" zoomScaleNormal="100" workbookViewId="0">
      <selection activeCell="F191" sqref="F191"/>
    </sheetView>
  </sheetViews>
  <sheetFormatPr baseColWidth="10" defaultColWidth="9.140625" defaultRowHeight="15" x14ac:dyDescent="0.25"/>
  <cols>
    <col min="1" max="1" width="3.140625" style="1" customWidth="1"/>
    <col min="2" max="2" width="45.28515625" customWidth="1"/>
    <col min="3" max="3" width="17.42578125" bestFit="1" customWidth="1"/>
    <col min="4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1" t="s">
        <v>1</v>
      </c>
      <c r="D2" s="82"/>
      <c r="E2" s="82"/>
      <c r="F2" s="82"/>
      <c r="G2" s="8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0" t="s">
        <v>7</v>
      </c>
      <c r="C4" s="71"/>
      <c r="D4" s="71"/>
      <c r="E4" s="71"/>
      <c r="F4" s="71"/>
      <c r="G4" s="72"/>
    </row>
    <row r="5" spans="1:7" x14ac:dyDescent="0.25">
      <c r="B5" s="66" t="s">
        <v>8</v>
      </c>
      <c r="C5" s="67"/>
      <c r="D5" s="67"/>
      <c r="E5" s="67"/>
      <c r="F5" s="67"/>
      <c r="G5" s="68"/>
    </row>
    <row r="6" spans="1:7" x14ac:dyDescent="0.25">
      <c r="B6" s="4" t="s">
        <v>9</v>
      </c>
      <c r="C6" s="12">
        <v>55394</v>
      </c>
      <c r="D6" s="12">
        <v>8191</v>
      </c>
      <c r="E6" s="12">
        <v>8250</v>
      </c>
      <c r="F6" s="12">
        <v>9904</v>
      </c>
      <c r="G6" s="12">
        <f>+F6+E6+D6+C6</f>
        <v>81739</v>
      </c>
    </row>
    <row r="7" spans="1:7" x14ac:dyDescent="0.25">
      <c r="B7" s="14" t="s">
        <v>10</v>
      </c>
      <c r="C7" s="12">
        <v>549</v>
      </c>
      <c r="D7" s="12">
        <v>252</v>
      </c>
      <c r="E7" s="12">
        <v>24</v>
      </c>
      <c r="F7" s="12">
        <v>148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55943</v>
      </c>
      <c r="D8" s="25">
        <v>8443</v>
      </c>
      <c r="E8" s="25">
        <v>8274</v>
      </c>
      <c r="F8" s="25">
        <v>10052</v>
      </c>
      <c r="G8" s="25">
        <f>+F8+E8+D8+C8</f>
        <v>82712</v>
      </c>
    </row>
    <row r="9" spans="1:7" x14ac:dyDescent="0.25">
      <c r="B9" s="61"/>
      <c r="C9" s="61"/>
      <c r="D9" s="61"/>
      <c r="E9" s="61"/>
      <c r="F9" s="61"/>
      <c r="G9" s="61"/>
    </row>
    <row r="10" spans="1:7" x14ac:dyDescent="0.25">
      <c r="B10" s="66" t="s">
        <v>12</v>
      </c>
      <c r="C10" s="67"/>
      <c r="D10" s="67"/>
      <c r="E10" s="67"/>
      <c r="F10" s="67"/>
      <c r="G10" s="68"/>
    </row>
    <row r="11" spans="1:7" x14ac:dyDescent="0.25">
      <c r="B11" s="62" t="s">
        <v>13</v>
      </c>
      <c r="C11" s="63"/>
      <c r="D11" s="63"/>
      <c r="E11" s="63"/>
      <c r="F11" s="63"/>
      <c r="G11" s="64"/>
    </row>
    <row r="12" spans="1:7" x14ac:dyDescent="0.25">
      <c r="B12" s="16" t="s">
        <v>14</v>
      </c>
      <c r="C12" s="12">
        <v>787950</v>
      </c>
      <c r="D12" s="12">
        <v>102148</v>
      </c>
      <c r="E12" s="12">
        <v>42305</v>
      </c>
      <c r="F12" s="12">
        <v>0</v>
      </c>
      <c r="G12" s="17">
        <f>SUM(C12:F12)</f>
        <v>932403</v>
      </c>
    </row>
    <row r="13" spans="1:7" x14ac:dyDescent="0.25">
      <c r="B13" s="16" t="s">
        <v>15</v>
      </c>
      <c r="C13" s="12">
        <v>2610152</v>
      </c>
      <c r="D13" s="12">
        <v>543180</v>
      </c>
      <c r="E13" s="12">
        <v>241568</v>
      </c>
      <c r="F13" s="12">
        <v>0</v>
      </c>
      <c r="G13" s="17">
        <f>SUM(C13:F13)</f>
        <v>3394900</v>
      </c>
    </row>
    <row r="14" spans="1:7" x14ac:dyDescent="0.25">
      <c r="B14" s="18" t="s">
        <v>16</v>
      </c>
      <c r="C14" s="25">
        <v>3398102</v>
      </c>
      <c r="D14" s="25">
        <v>967012</v>
      </c>
      <c r="E14" s="25">
        <v>283873</v>
      </c>
      <c r="F14" s="25">
        <v>152083</v>
      </c>
      <c r="G14" s="19">
        <f>SUM(C14:F14)</f>
        <v>4801070</v>
      </c>
    </row>
    <row r="15" spans="1:7" x14ac:dyDescent="0.25">
      <c r="B15" s="18" t="s">
        <v>17</v>
      </c>
      <c r="C15" s="25">
        <v>496293</v>
      </c>
      <c r="D15" s="25">
        <v>167888</v>
      </c>
      <c r="E15" s="25">
        <v>3247</v>
      </c>
      <c r="F15" s="25">
        <v>358183</v>
      </c>
      <c r="G15" s="19">
        <f>SUM(C15:F15)</f>
        <v>1025611</v>
      </c>
    </row>
    <row r="16" spans="1:7" x14ac:dyDescent="0.25">
      <c r="B16" s="18" t="s">
        <v>18</v>
      </c>
      <c r="C16" s="25">
        <v>3894395</v>
      </c>
      <c r="D16" s="25">
        <v>1134900</v>
      </c>
      <c r="E16" s="25">
        <v>287120</v>
      </c>
      <c r="F16" s="25">
        <v>510266</v>
      </c>
      <c r="G16" s="19">
        <f>SUM(C16:F16)</f>
        <v>5826681</v>
      </c>
    </row>
    <row r="17" spans="2:8" x14ac:dyDescent="0.25">
      <c r="B17" s="61"/>
      <c r="C17" s="61"/>
      <c r="D17" s="61"/>
      <c r="E17" s="61"/>
      <c r="F17" s="61"/>
      <c r="G17" s="61"/>
    </row>
    <row r="18" spans="2:8" x14ac:dyDescent="0.25">
      <c r="B18" s="62" t="s">
        <v>19</v>
      </c>
      <c r="C18" s="63"/>
      <c r="D18" s="63"/>
      <c r="E18" s="63"/>
      <c r="F18" s="63"/>
      <c r="G18" s="64"/>
    </row>
    <row r="19" spans="2:8" x14ac:dyDescent="0.25">
      <c r="B19" s="14" t="s">
        <v>20</v>
      </c>
      <c r="C19" s="56">
        <v>3491</v>
      </c>
      <c r="D19" s="27">
        <v>4</v>
      </c>
      <c r="E19" s="27">
        <v>0</v>
      </c>
      <c r="F19" s="27">
        <v>0</v>
      </c>
      <c r="G19" s="27">
        <f>SUM(C19:F19)</f>
        <v>3495</v>
      </c>
    </row>
    <row r="20" spans="2:8" x14ac:dyDescent="0.25">
      <c r="B20" s="84"/>
      <c r="C20" s="84"/>
      <c r="D20" s="84"/>
      <c r="E20" s="84"/>
      <c r="F20" s="84"/>
      <c r="G20" s="84"/>
    </row>
    <row r="21" spans="2:8" x14ac:dyDescent="0.25">
      <c r="B21" s="18" t="s">
        <v>21</v>
      </c>
      <c r="C21" s="43">
        <f>+C19+C16</f>
        <v>3897886</v>
      </c>
      <c r="D21" s="43">
        <v>1134904</v>
      </c>
      <c r="E21" s="43">
        <v>287120</v>
      </c>
      <c r="F21" s="43">
        <f>F16</f>
        <v>510266</v>
      </c>
      <c r="G21" s="19">
        <f>SUM(C21:F21)</f>
        <v>5830176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43">
        <v>405465</v>
      </c>
      <c r="D24" s="43">
        <v>202269</v>
      </c>
      <c r="E24" s="43">
        <v>145014</v>
      </c>
      <c r="F24" s="43">
        <v>684669</v>
      </c>
      <c r="G24" s="19">
        <f>SUM(C24:F24)</f>
        <v>1437417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43">
        <f>+C24+C21</f>
        <v>4303351</v>
      </c>
      <c r="D27" s="43">
        <f>+D24+D21</f>
        <v>1337173</v>
      </c>
      <c r="E27" s="43">
        <f>+E21+E24</f>
        <v>432134</v>
      </c>
      <c r="F27" s="43">
        <f>+F24+F21</f>
        <v>1194935</v>
      </c>
      <c r="G27" s="19">
        <f>SUM(C27:F27)</f>
        <v>7267593</v>
      </c>
    </row>
    <row r="28" spans="2:8" x14ac:dyDescent="0.25">
      <c r="B28" s="61"/>
      <c r="C28" s="61"/>
      <c r="D28" s="61"/>
      <c r="E28" s="61"/>
      <c r="F28" s="61"/>
      <c r="G28" s="61"/>
      <c r="H28" s="61"/>
    </row>
    <row r="29" spans="2:8" x14ac:dyDescent="0.25">
      <c r="B29" s="66" t="s">
        <v>26</v>
      </c>
      <c r="C29" s="67"/>
      <c r="D29" s="67"/>
      <c r="E29" s="67"/>
      <c r="F29" s="67"/>
      <c r="G29" s="68"/>
    </row>
    <row r="30" spans="2:8" x14ac:dyDescent="0.25">
      <c r="B30" s="14" t="s">
        <v>27</v>
      </c>
      <c r="C30" s="27">
        <v>1299520</v>
      </c>
      <c r="D30" s="27">
        <v>132659</v>
      </c>
      <c r="E30" s="27">
        <v>77873</v>
      </c>
      <c r="F30" s="27">
        <v>203947</v>
      </c>
      <c r="G30" s="27">
        <f>SUM(C30:F30)</f>
        <v>1713999</v>
      </c>
    </row>
    <row r="31" spans="2:8" x14ac:dyDescent="0.25">
      <c r="B31" s="61"/>
      <c r="C31" s="61"/>
      <c r="D31" s="61"/>
      <c r="E31" s="61"/>
      <c r="F31" s="61"/>
      <c r="G31" s="61"/>
      <c r="H31" s="61"/>
    </row>
    <row r="32" spans="2:8" x14ac:dyDescent="0.25">
      <c r="B32" s="66" t="s">
        <v>28</v>
      </c>
      <c r="C32" s="67"/>
      <c r="D32" s="67"/>
      <c r="E32" s="67"/>
      <c r="F32" s="67"/>
      <c r="G32" s="68"/>
    </row>
    <row r="33" spans="2:9" x14ac:dyDescent="0.25">
      <c r="B33" s="14" t="s">
        <v>29</v>
      </c>
      <c r="C33" s="27">
        <v>4004396244720</v>
      </c>
      <c r="D33" s="27">
        <v>707097364601</v>
      </c>
      <c r="E33" s="27">
        <v>268654896859</v>
      </c>
      <c r="F33" s="27">
        <v>471011112223</v>
      </c>
      <c r="G33" s="27">
        <f>SUM(C33:F33)</f>
        <v>5451159618403</v>
      </c>
    </row>
    <row r="34" spans="2:9" x14ac:dyDescent="0.25">
      <c r="B34" s="14" t="s">
        <v>30</v>
      </c>
      <c r="C34" s="27">
        <v>176378108487</v>
      </c>
      <c r="D34" s="27">
        <v>72318968942</v>
      </c>
      <c r="E34" s="27">
        <v>44519628200</v>
      </c>
      <c r="F34" s="27">
        <v>208184088898</v>
      </c>
      <c r="G34" s="27">
        <f>SUM(C34:F34)</f>
        <v>501400794527</v>
      </c>
    </row>
    <row r="35" spans="2:9" x14ac:dyDescent="0.25">
      <c r="B35" s="39" t="s">
        <v>31</v>
      </c>
      <c r="C35" s="19">
        <v>4180774353207</v>
      </c>
      <c r="D35" s="19">
        <v>779416333543</v>
      </c>
      <c r="E35" s="19">
        <v>313174525059</v>
      </c>
      <c r="F35" s="19">
        <v>679195201121</v>
      </c>
      <c r="G35" s="40">
        <f>SUM(C35:F35)</f>
        <v>5952560412930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0" t="s">
        <v>33</v>
      </c>
      <c r="C38" s="71"/>
      <c r="D38" s="71"/>
      <c r="E38" s="71"/>
      <c r="F38" s="71"/>
      <c r="G38" s="72"/>
    </row>
    <row r="39" spans="2:9" x14ac:dyDescent="0.25">
      <c r="B39" s="66" t="s">
        <v>34</v>
      </c>
      <c r="C39" s="67"/>
      <c r="D39" s="67"/>
      <c r="E39" s="67"/>
      <c r="F39" s="67"/>
      <c r="G39" s="68"/>
    </row>
    <row r="40" spans="2:9" x14ac:dyDescent="0.25">
      <c r="B40" s="14" t="s">
        <v>35</v>
      </c>
      <c r="C40" s="27">
        <v>1114549</v>
      </c>
      <c r="D40" s="27">
        <v>113486</v>
      </c>
      <c r="E40" s="27">
        <v>51408</v>
      </c>
      <c r="F40" s="27">
        <v>70113</v>
      </c>
      <c r="G40" s="27">
        <f>SUM(C40:F40)</f>
        <v>1349556</v>
      </c>
      <c r="H40" s="7"/>
      <c r="I40" s="7"/>
    </row>
    <row r="41" spans="2:9" x14ac:dyDescent="0.25">
      <c r="B41" s="14" t="s">
        <v>36</v>
      </c>
      <c r="C41" s="27">
        <f>4825185232/1000000</f>
        <v>4825.1852319999998</v>
      </c>
      <c r="D41" s="27">
        <v>1240.0583059999999</v>
      </c>
      <c r="E41" s="27">
        <v>546.5</v>
      </c>
      <c r="F41" s="27">
        <v>704.30484200000001</v>
      </c>
      <c r="G41" s="11">
        <f>SUM(C41:F41)</f>
        <v>7316.0483800000002</v>
      </c>
      <c r="H41" s="7"/>
      <c r="I41" s="7"/>
    </row>
    <row r="42" spans="2:9" x14ac:dyDescent="0.25">
      <c r="B42" s="61"/>
      <c r="C42" s="61"/>
      <c r="D42" s="61"/>
      <c r="E42" s="61"/>
      <c r="F42" s="61"/>
      <c r="G42" s="61"/>
      <c r="H42" s="61"/>
      <c r="I42" s="7"/>
    </row>
    <row r="43" spans="2:9" x14ac:dyDescent="0.25">
      <c r="B43" s="60" t="s">
        <v>37</v>
      </c>
      <c r="C43" s="60"/>
      <c r="D43" s="60"/>
      <c r="E43" s="60"/>
      <c r="F43" s="60"/>
      <c r="G43" s="60"/>
      <c r="I43" s="7"/>
    </row>
    <row r="44" spans="2:9" x14ac:dyDescent="0.25">
      <c r="B44" s="14" t="s">
        <v>38</v>
      </c>
      <c r="C44">
        <v>3</v>
      </c>
      <c r="D44" s="27">
        <v>6</v>
      </c>
      <c r="E44" s="27">
        <v>0</v>
      </c>
      <c r="F44" s="27">
        <v>0</v>
      </c>
      <c r="G44" s="27">
        <f>SUM(C44:F44)</f>
        <v>9</v>
      </c>
      <c r="H44" s="7"/>
      <c r="I44" s="7"/>
    </row>
    <row r="45" spans="2:9" x14ac:dyDescent="0.25">
      <c r="B45" s="14" t="s">
        <v>39</v>
      </c>
      <c r="C45" s="57">
        <f>4879386/1000000</f>
        <v>4.8793860000000002</v>
      </c>
      <c r="D45" s="13">
        <v>7.8024999999999997E-2</v>
      </c>
      <c r="E45" s="27">
        <v>0</v>
      </c>
      <c r="F45" s="27">
        <v>0</v>
      </c>
      <c r="G45" s="11">
        <f>SUM(C45:F45)</f>
        <v>4.9574110000000005</v>
      </c>
      <c r="H45" s="7"/>
      <c r="I45" s="7"/>
    </row>
    <row r="46" spans="2:9" x14ac:dyDescent="0.25">
      <c r="B46" s="61"/>
      <c r="C46" s="61"/>
      <c r="D46" s="61"/>
      <c r="E46" s="61"/>
      <c r="F46" s="61"/>
      <c r="G46" s="61"/>
      <c r="H46" s="61"/>
      <c r="I46" s="7"/>
    </row>
    <row r="47" spans="2:9" x14ac:dyDescent="0.25">
      <c r="B47" s="60" t="s">
        <v>40</v>
      </c>
      <c r="C47" s="60"/>
      <c r="D47" s="60"/>
      <c r="E47" s="60"/>
      <c r="F47" s="60"/>
      <c r="G47" s="60"/>
      <c r="I47" s="7"/>
    </row>
    <row r="48" spans="2:9" x14ac:dyDescent="0.25">
      <c r="B48" s="14" t="s">
        <v>41</v>
      </c>
      <c r="C48" s="27">
        <v>163864</v>
      </c>
      <c r="D48" s="27">
        <v>69545</v>
      </c>
      <c r="E48" s="27">
        <v>11380</v>
      </c>
      <c r="F48" s="27">
        <v>58123</v>
      </c>
      <c r="G48" s="27">
        <f>SUM(C48:F48)</f>
        <v>302912</v>
      </c>
      <c r="H48" s="7"/>
      <c r="I48" s="7"/>
    </row>
    <row r="49" spans="2:9" x14ac:dyDescent="0.25">
      <c r="B49" s="14" t="s">
        <v>42</v>
      </c>
      <c r="C49" s="27">
        <f>(79422227534+ 1523294211)/1000000</f>
        <v>80945.521745000005</v>
      </c>
      <c r="D49" s="27">
        <v>27823</v>
      </c>
      <c r="E49" s="27">
        <v>10147.498152</v>
      </c>
      <c r="F49" s="27">
        <v>11228.528531</v>
      </c>
      <c r="G49" s="11">
        <f>SUM(C49:F49)</f>
        <v>130144.54842800001</v>
      </c>
      <c r="H49" s="7"/>
      <c r="I49" s="7"/>
    </row>
    <row r="50" spans="2:9" x14ac:dyDescent="0.25">
      <c r="B50" s="61"/>
      <c r="C50" s="61"/>
      <c r="D50" s="61"/>
      <c r="E50" s="61"/>
      <c r="F50" s="61"/>
      <c r="G50" s="61"/>
      <c r="H50" s="61"/>
    </row>
    <row r="51" spans="2:9" ht="21" x14ac:dyDescent="0.35">
      <c r="B51" s="70" t="s">
        <v>43</v>
      </c>
      <c r="C51" s="71"/>
      <c r="D51" s="71"/>
      <c r="E51" s="71"/>
      <c r="F51" s="71"/>
      <c r="G51" s="72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60" t="s">
        <v>44</v>
      </c>
      <c r="C53" s="60"/>
      <c r="D53" s="60"/>
      <c r="E53" s="60"/>
      <c r="F53" s="60"/>
      <c r="G53" s="60"/>
    </row>
    <row r="54" spans="2:9" x14ac:dyDescent="0.25">
      <c r="B54" s="65" t="s">
        <v>45</v>
      </c>
      <c r="C54" s="65"/>
      <c r="D54" s="65"/>
      <c r="E54" s="65"/>
      <c r="F54" s="65"/>
      <c r="G54" s="65"/>
    </row>
    <row r="55" spans="2:9" x14ac:dyDescent="0.25">
      <c r="B55" s="14" t="s">
        <v>46</v>
      </c>
      <c r="C55" s="27">
        <v>99223</v>
      </c>
      <c r="D55" s="27">
        <v>4996</v>
      </c>
      <c r="E55" s="27">
        <v>1339</v>
      </c>
      <c r="F55" s="27">
        <v>3967</v>
      </c>
      <c r="G55" s="27">
        <f t="shared" ref="G55:G71" si="0">SUM(C55:F55)</f>
        <v>109525</v>
      </c>
    </row>
    <row r="56" spans="2:9" x14ac:dyDescent="0.25">
      <c r="B56" s="14" t="s">
        <v>47</v>
      </c>
      <c r="C56" s="27">
        <v>65981.202659999995</v>
      </c>
      <c r="D56" s="27">
        <v>6958.7942799999701</v>
      </c>
      <c r="E56" s="27">
        <v>1939.603552</v>
      </c>
      <c r="F56" s="27">
        <v>9535</v>
      </c>
      <c r="G56" s="27">
        <f t="shared" si="0"/>
        <v>84414.600491999969</v>
      </c>
    </row>
    <row r="57" spans="2:9" x14ac:dyDescent="0.25">
      <c r="B57" s="14" t="s">
        <v>48</v>
      </c>
      <c r="C57" s="27">
        <v>13.733882265200601</v>
      </c>
      <c r="D57" s="27">
        <v>38</v>
      </c>
      <c r="E57" s="27">
        <v>20.976101568334578</v>
      </c>
      <c r="F57" s="27">
        <v>29</v>
      </c>
      <c r="G57" s="27">
        <f>AVERAGE(C57:F57)</f>
        <v>25.427495958383794</v>
      </c>
    </row>
    <row r="58" spans="2:9" x14ac:dyDescent="0.25">
      <c r="B58" s="14" t="s">
        <v>49</v>
      </c>
      <c r="C58" s="27">
        <v>838968</v>
      </c>
      <c r="D58" s="27">
        <v>151070</v>
      </c>
      <c r="E58" s="27">
        <v>52775</v>
      </c>
      <c r="F58" s="27">
        <v>81212</v>
      </c>
      <c r="G58" s="27">
        <f t="shared" si="0"/>
        <v>1124025</v>
      </c>
    </row>
    <row r="59" spans="2:9" x14ac:dyDescent="0.25">
      <c r="B59" s="14" t="s">
        <v>50</v>
      </c>
      <c r="C59" s="27">
        <v>1833968.094849</v>
      </c>
      <c r="D59" s="27">
        <v>269246.84015</v>
      </c>
      <c r="E59" s="27">
        <v>109247.329323</v>
      </c>
      <c r="F59" s="27">
        <v>189162</v>
      </c>
      <c r="G59" s="11">
        <f t="shared" si="0"/>
        <v>2401624.2643219996</v>
      </c>
    </row>
    <row r="60" spans="2:9" x14ac:dyDescent="0.25">
      <c r="B60" s="65" t="s">
        <v>51</v>
      </c>
      <c r="C60" s="65"/>
      <c r="D60" s="65"/>
      <c r="E60" s="65"/>
      <c r="F60" s="65"/>
      <c r="G60" s="65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5" t="s">
        <v>52</v>
      </c>
      <c r="C66" s="65"/>
      <c r="D66" s="65"/>
      <c r="E66" s="65"/>
      <c r="F66" s="65"/>
      <c r="G66" s="65"/>
    </row>
    <row r="67" spans="2:8" x14ac:dyDescent="0.25">
      <c r="B67" s="14" t="s">
        <v>46</v>
      </c>
      <c r="C67" s="27">
        <v>5123</v>
      </c>
      <c r="D67" s="27">
        <v>1504</v>
      </c>
      <c r="E67" s="27">
        <v>1667</v>
      </c>
      <c r="F67" s="27">
        <v>9883</v>
      </c>
      <c r="G67" s="27">
        <f t="shared" si="0"/>
        <v>18177</v>
      </c>
    </row>
    <row r="68" spans="2:8" x14ac:dyDescent="0.25">
      <c r="B68" s="14" t="s">
        <v>47</v>
      </c>
      <c r="C68" s="27">
        <v>4126.4220789999999</v>
      </c>
      <c r="D68" s="27">
        <v>1733.8031800000001</v>
      </c>
      <c r="E68" s="27">
        <v>2330.6056199999998</v>
      </c>
      <c r="F68" s="27">
        <v>12866</v>
      </c>
      <c r="G68" s="27">
        <f t="shared" si="0"/>
        <v>21056.830879000001</v>
      </c>
    </row>
    <row r="69" spans="2:8" x14ac:dyDescent="0.25">
      <c r="B69" s="14" t="s">
        <v>48</v>
      </c>
      <c r="C69" s="27">
        <v>38.005660745656797</v>
      </c>
      <c r="D69" s="27">
        <v>55</v>
      </c>
      <c r="E69" s="27">
        <v>50.941211757648468</v>
      </c>
      <c r="F69" s="27">
        <v>38</v>
      </c>
      <c r="G69" s="27">
        <f>AVERAGE(C69:F69)</f>
        <v>45.486718125826314</v>
      </c>
    </row>
    <row r="70" spans="2:8" x14ac:dyDescent="0.25">
      <c r="B70" s="14" t="s">
        <v>49</v>
      </c>
      <c r="C70" s="27">
        <v>137465</v>
      </c>
      <c r="D70" s="27">
        <v>87774</v>
      </c>
      <c r="E70" s="27">
        <v>67661</v>
      </c>
      <c r="F70" s="27">
        <v>271355</v>
      </c>
      <c r="G70" s="27">
        <f t="shared" si="0"/>
        <v>564255</v>
      </c>
    </row>
    <row r="71" spans="2:8" x14ac:dyDescent="0.25">
      <c r="B71" s="14" t="s">
        <v>50</v>
      </c>
      <c r="C71" s="27">
        <v>143709.14011199999</v>
      </c>
      <c r="D71" s="27">
        <v>104726.414328</v>
      </c>
      <c r="E71" s="27">
        <v>72145.659903000007</v>
      </c>
      <c r="F71" s="27">
        <v>257706</v>
      </c>
      <c r="G71" s="11">
        <f t="shared" si="0"/>
        <v>578287.21434299997</v>
      </c>
    </row>
    <row r="72" spans="2:8" x14ac:dyDescent="0.25">
      <c r="B72" s="74" t="s">
        <v>53</v>
      </c>
      <c r="C72" s="75"/>
      <c r="D72" s="75"/>
      <c r="E72" s="75"/>
      <c r="F72" s="75"/>
      <c r="G72" s="76"/>
    </row>
    <row r="73" spans="2:8" x14ac:dyDescent="0.25">
      <c r="B73" s="18" t="s">
        <v>54</v>
      </c>
      <c r="C73" s="19">
        <f>+C55+C67</f>
        <v>104346</v>
      </c>
      <c r="D73" s="19">
        <v>6500</v>
      </c>
      <c r="E73" s="19">
        <v>3006</v>
      </c>
      <c r="F73" s="19">
        <v>13850</v>
      </c>
      <c r="G73" s="19">
        <f>SUM(C73:F73)</f>
        <v>127702</v>
      </c>
    </row>
    <row r="74" spans="2:8" x14ac:dyDescent="0.25">
      <c r="B74" s="18" t="s">
        <v>47</v>
      </c>
      <c r="C74" s="19">
        <f>+C56+C68</f>
        <v>70107.624738999992</v>
      </c>
      <c r="D74" s="19">
        <v>8692.5974599999699</v>
      </c>
      <c r="E74" s="19">
        <v>4270.2091719999999</v>
      </c>
      <c r="F74" s="19">
        <v>22401</v>
      </c>
      <c r="G74" s="22">
        <f>SUM(C74:F74)</f>
        <v>105471.43137099997</v>
      </c>
    </row>
    <row r="75" spans="2:8" x14ac:dyDescent="0.25">
      <c r="B75" s="18" t="s">
        <v>48</v>
      </c>
      <c r="C75" s="19">
        <v>14.925421909590099</v>
      </c>
      <c r="D75" s="19">
        <v>31</v>
      </c>
      <c r="E75" s="19">
        <v>37.593479707252165</v>
      </c>
      <c r="F75" s="19">
        <v>33.5</v>
      </c>
      <c r="G75" s="19">
        <f>AVERAGE(C75:F75)</f>
        <v>29.254725404210568</v>
      </c>
    </row>
    <row r="76" spans="2:8" x14ac:dyDescent="0.25">
      <c r="B76" s="18" t="s">
        <v>49</v>
      </c>
      <c r="C76" s="19">
        <f>+C58+C70</f>
        <v>976433</v>
      </c>
      <c r="D76" s="19">
        <v>238844</v>
      </c>
      <c r="E76" s="19">
        <v>120436</v>
      </c>
      <c r="F76" s="19">
        <v>352567</v>
      </c>
      <c r="G76" s="19">
        <f>SUM(C76:F76)</f>
        <v>1688280</v>
      </c>
    </row>
    <row r="77" spans="2:8" x14ac:dyDescent="0.25">
      <c r="B77" s="18" t="s">
        <v>50</v>
      </c>
      <c r="C77" s="19">
        <f>+C59+C71</f>
        <v>1977677.234961</v>
      </c>
      <c r="D77" s="19">
        <v>373973.25447799999</v>
      </c>
      <c r="E77" s="19">
        <v>181392.98922600001</v>
      </c>
      <c r="F77" s="19">
        <v>446868</v>
      </c>
      <c r="G77" s="22">
        <f>SUM(C77:F77)</f>
        <v>2979911.4786649998</v>
      </c>
    </row>
    <row r="78" spans="2:8" x14ac:dyDescent="0.25">
      <c r="B78" s="61"/>
      <c r="C78" s="61"/>
      <c r="D78" s="61"/>
      <c r="E78" s="61"/>
      <c r="F78" s="61"/>
      <c r="G78" s="61"/>
      <c r="H78" s="61"/>
    </row>
    <row r="79" spans="2:8" x14ac:dyDescent="0.25">
      <c r="B79" s="66" t="s">
        <v>55</v>
      </c>
      <c r="C79" s="67"/>
      <c r="D79" s="67"/>
      <c r="E79" s="67"/>
      <c r="F79" s="67"/>
      <c r="G79" s="68"/>
    </row>
    <row r="80" spans="2:8" x14ac:dyDescent="0.25">
      <c r="B80" s="62" t="s">
        <v>45</v>
      </c>
      <c r="C80" s="63"/>
      <c r="D80" s="63"/>
      <c r="E80" s="63"/>
      <c r="F80" s="63"/>
      <c r="G80" s="64"/>
    </row>
    <row r="81" spans="2:7" x14ac:dyDescent="0.25">
      <c r="B81" s="14" t="s">
        <v>46</v>
      </c>
      <c r="C81" s="27">
        <v>0</v>
      </c>
      <c r="D81" s="27">
        <v>0</v>
      </c>
      <c r="E81" s="27">
        <v>0</v>
      </c>
      <c r="F81" s="27">
        <v>0</v>
      </c>
      <c r="G81" s="20">
        <f>SUM(C81:F81)</f>
        <v>0</v>
      </c>
    </row>
    <row r="82" spans="2:7" x14ac:dyDescent="0.25">
      <c r="B82" s="14" t="s">
        <v>47</v>
      </c>
      <c r="C82" s="27">
        <v>0</v>
      </c>
      <c r="D82" s="27">
        <v>0</v>
      </c>
      <c r="E82" s="27">
        <v>0</v>
      </c>
      <c r="F82" s="27">
        <v>0</v>
      </c>
      <c r="G82" s="24">
        <f>SUM(C82:F82)</f>
        <v>0</v>
      </c>
    </row>
    <row r="83" spans="2:7" x14ac:dyDescent="0.25">
      <c r="B83" s="14" t="s">
        <v>48</v>
      </c>
      <c r="C83" s="27">
        <v>0</v>
      </c>
      <c r="D83" s="27">
        <v>0</v>
      </c>
      <c r="E83" s="27">
        <v>0</v>
      </c>
      <c r="F83" s="27">
        <v>0</v>
      </c>
      <c r="G83" s="24">
        <f>AVERAGE(C83:F83)</f>
        <v>0</v>
      </c>
    </row>
    <row r="84" spans="2:7" x14ac:dyDescent="0.25">
      <c r="B84" s="14" t="s">
        <v>49</v>
      </c>
      <c r="C84" s="27">
        <v>989</v>
      </c>
      <c r="D84" s="27">
        <v>115</v>
      </c>
      <c r="E84" s="27">
        <v>6</v>
      </c>
      <c r="F84" s="27">
        <v>92</v>
      </c>
      <c r="G84" s="24">
        <f>SUM(C84:F84)</f>
        <v>1202</v>
      </c>
    </row>
    <row r="85" spans="2:7" x14ac:dyDescent="0.25">
      <c r="B85" s="14" t="s">
        <v>50</v>
      </c>
      <c r="C85" s="27">
        <v>21357.350785999999</v>
      </c>
      <c r="D85" s="27">
        <v>1443</v>
      </c>
      <c r="E85" s="27">
        <v>77</v>
      </c>
      <c r="F85" s="27">
        <v>1710.3454039999999</v>
      </c>
      <c r="G85" s="11">
        <f>SUM(C85:F85)</f>
        <v>24587.696189999999</v>
      </c>
    </row>
    <row r="86" spans="2:7" x14ac:dyDescent="0.25">
      <c r="B86" s="62" t="s">
        <v>51</v>
      </c>
      <c r="C86" s="63"/>
      <c r="D86" s="63"/>
      <c r="E86" s="63"/>
      <c r="F86" s="63"/>
      <c r="G86" s="6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2" t="s">
        <v>52</v>
      </c>
      <c r="C92" s="63"/>
      <c r="D92" s="63"/>
      <c r="E92" s="63"/>
      <c r="F92" s="63"/>
      <c r="G92" s="64"/>
    </row>
    <row r="93" spans="2:7" x14ac:dyDescent="0.25">
      <c r="B93" s="14" t="s">
        <v>46</v>
      </c>
      <c r="C93" s="27">
        <v>0</v>
      </c>
      <c r="D93" s="27">
        <v>0</v>
      </c>
      <c r="E93" s="27">
        <v>0</v>
      </c>
      <c r="F93" s="27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7">
        <v>0</v>
      </c>
      <c r="E94" s="27">
        <v>0</v>
      </c>
      <c r="F94" s="27">
        <v>0</v>
      </c>
      <c r="G94" s="27">
        <f>SUM(C94:F94)</f>
        <v>0</v>
      </c>
    </row>
    <row r="95" spans="2:7" x14ac:dyDescent="0.25">
      <c r="B95" s="14" t="s">
        <v>48</v>
      </c>
      <c r="C95" s="27">
        <v>0</v>
      </c>
      <c r="D95" s="27">
        <v>0</v>
      </c>
      <c r="E95" s="27">
        <v>0</v>
      </c>
      <c r="F95" s="27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173.700839</v>
      </c>
      <c r="D97" s="27">
        <v>0</v>
      </c>
      <c r="E97" s="27">
        <v>0</v>
      </c>
      <c r="F97" s="27">
        <v>79.321049000000002</v>
      </c>
      <c r="G97" s="11">
        <f>SUM(C97:F97)</f>
        <v>253.02188799999999</v>
      </c>
    </row>
    <row r="98" spans="2:8" x14ac:dyDescent="0.25">
      <c r="B98" s="74" t="s">
        <v>56</v>
      </c>
      <c r="C98" s="75"/>
      <c r="D98" s="75"/>
      <c r="E98" s="75"/>
      <c r="F98" s="75"/>
      <c r="G98" s="76"/>
    </row>
    <row r="99" spans="2:8" x14ac:dyDescent="0.25">
      <c r="B99" s="18" t="s">
        <v>46</v>
      </c>
      <c r="C99" s="43">
        <v>0</v>
      </c>
      <c r="D99" s="43">
        <v>0</v>
      </c>
      <c r="E99" s="43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43">
        <v>0</v>
      </c>
      <c r="D100" s="43">
        <v>0</v>
      </c>
      <c r="E100" s="43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43">
        <v>0</v>
      </c>
      <c r="D101" s="43">
        <v>0</v>
      </c>
      <c r="E101" s="43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3">
        <f>+C96+C84</f>
        <v>999</v>
      </c>
      <c r="D102" s="43">
        <v>115</v>
      </c>
      <c r="E102" s="43">
        <f>+E84</f>
        <v>6</v>
      </c>
      <c r="F102" s="45">
        <f>+F96+F84</f>
        <v>98</v>
      </c>
      <c r="G102" s="19">
        <f>SUM(C102:F102)</f>
        <v>1218</v>
      </c>
    </row>
    <row r="103" spans="2:8" x14ac:dyDescent="0.25">
      <c r="B103" s="18" t="s">
        <v>50</v>
      </c>
      <c r="C103" s="43">
        <f>+C97+C85</f>
        <v>21531.051625</v>
      </c>
      <c r="D103" s="43">
        <v>1443</v>
      </c>
      <c r="E103" s="43">
        <f>+E85</f>
        <v>77</v>
      </c>
      <c r="F103" s="43">
        <f>+F85+F97</f>
        <v>1789.6664529999998</v>
      </c>
      <c r="G103" s="22">
        <f>SUM(C103:F103)</f>
        <v>24840.718077999998</v>
      </c>
    </row>
    <row r="104" spans="2:8" x14ac:dyDescent="0.25">
      <c r="B104" s="61"/>
      <c r="C104" s="61"/>
      <c r="D104" s="61"/>
      <c r="E104" s="61"/>
      <c r="F104" s="61"/>
      <c r="G104" s="61"/>
      <c r="H104" s="61"/>
    </row>
    <row r="105" spans="2:8" x14ac:dyDescent="0.25">
      <c r="B105" s="60" t="s">
        <v>57</v>
      </c>
      <c r="C105" s="60"/>
      <c r="D105" s="60"/>
      <c r="E105" s="60"/>
      <c r="F105" s="60"/>
      <c r="G105" s="60"/>
    </row>
    <row r="106" spans="2:8" x14ac:dyDescent="0.25">
      <c r="B106" s="65" t="s">
        <v>58</v>
      </c>
      <c r="C106" s="65"/>
      <c r="D106" s="65"/>
      <c r="E106" s="65"/>
      <c r="F106" s="65"/>
      <c r="G106" s="65"/>
    </row>
    <row r="107" spans="2:8" x14ac:dyDescent="0.25">
      <c r="B107" s="14" t="s">
        <v>59</v>
      </c>
      <c r="C107" s="13">
        <v>2.8282955258703915</v>
      </c>
      <c r="D107" s="13">
        <v>2.5499999999999998</v>
      </c>
      <c r="E107" s="13">
        <v>2.8212989045383408</v>
      </c>
      <c r="F107" s="13">
        <v>2.54</v>
      </c>
      <c r="G107" s="13">
        <f>AVERAGE(C107:F107)</f>
        <v>2.6848986076021832</v>
      </c>
    </row>
    <row r="108" spans="2:8" x14ac:dyDescent="0.25">
      <c r="B108" s="14" t="s">
        <v>60</v>
      </c>
      <c r="C108" s="13">
        <v>2.3213422046984848</v>
      </c>
      <c r="D108" s="13">
        <v>2.65</v>
      </c>
      <c r="E108" s="13">
        <v>2.6661299435028245</v>
      </c>
      <c r="F108" s="13">
        <v>2.65</v>
      </c>
      <c r="G108" s="13">
        <f>AVERAGE(C108:F108)</f>
        <v>2.5718680370503275</v>
      </c>
    </row>
    <row r="109" spans="2:8" x14ac:dyDescent="0.25">
      <c r="B109" s="14" t="s">
        <v>61</v>
      </c>
      <c r="C109" s="13">
        <v>2.0158925975549287</v>
      </c>
      <c r="D109" s="13">
        <v>2.65</v>
      </c>
      <c r="E109" s="13">
        <v>2.4340952380952383</v>
      </c>
      <c r="F109" s="13">
        <v>2.65</v>
      </c>
      <c r="G109" s="13">
        <f>AVERAGE(C109:F109)</f>
        <v>2.4374969589125417</v>
      </c>
    </row>
    <row r="110" spans="2:8" x14ac:dyDescent="0.25">
      <c r="B110" s="65" t="s">
        <v>62</v>
      </c>
      <c r="C110" s="65"/>
      <c r="D110" s="65"/>
      <c r="E110" s="65"/>
      <c r="F110" s="65"/>
      <c r="G110" s="65"/>
    </row>
    <row r="111" spans="2:8" x14ac:dyDescent="0.25">
      <c r="B111" s="14" t="s">
        <v>59</v>
      </c>
      <c r="C111" s="13">
        <v>1.8000000000000005</v>
      </c>
      <c r="D111" s="13">
        <v>1.95</v>
      </c>
      <c r="E111" s="13">
        <v>1.3</v>
      </c>
      <c r="F111" s="13">
        <v>1.8000000000000005</v>
      </c>
      <c r="G111" s="13">
        <f>AVERAGE(C111:F111)</f>
        <v>1.7125000000000004</v>
      </c>
    </row>
    <row r="112" spans="2:8" x14ac:dyDescent="0.25">
      <c r="B112" s="14" t="s">
        <v>60</v>
      </c>
      <c r="C112" s="13">
        <v>2.0955882352941151</v>
      </c>
      <c r="D112" s="13">
        <v>2.16</v>
      </c>
      <c r="E112" s="13">
        <v>1.8991304347826088</v>
      </c>
      <c r="F112" s="13">
        <v>2.16</v>
      </c>
      <c r="G112" s="13">
        <f>AVERAGE(C112:F112)</f>
        <v>2.078679667519181</v>
      </c>
    </row>
    <row r="113" spans="2:9" x14ac:dyDescent="0.25">
      <c r="B113" s="14" t="s">
        <v>61</v>
      </c>
      <c r="C113" s="13">
        <v>2.0853273809523758</v>
      </c>
      <c r="D113" s="13">
        <v>2.16</v>
      </c>
      <c r="E113" s="13">
        <v>1.88</v>
      </c>
      <c r="F113" s="13">
        <v>2.14</v>
      </c>
      <c r="G113" s="13">
        <f>AVERAGE(C113:F113)</f>
        <v>2.0663318452380941</v>
      </c>
    </row>
    <row r="114" spans="2:9" x14ac:dyDescent="0.25">
      <c r="B114" s="61"/>
      <c r="C114" s="61"/>
      <c r="D114" s="61"/>
      <c r="E114" s="61"/>
      <c r="F114" s="61"/>
      <c r="G114" s="61"/>
      <c r="H114" s="61"/>
      <c r="I114" s="61"/>
    </row>
    <row r="115" spans="2:9" x14ac:dyDescent="0.25">
      <c r="B115" s="65" t="s">
        <v>63</v>
      </c>
      <c r="C115" s="65"/>
      <c r="D115" s="65"/>
      <c r="E115" s="65"/>
      <c r="F115" s="65"/>
      <c r="G115" s="65"/>
    </row>
    <row r="116" spans="2:9" x14ac:dyDescent="0.25">
      <c r="B116" s="14" t="s">
        <v>59</v>
      </c>
      <c r="C116" s="13">
        <v>1.4991646390916353</v>
      </c>
      <c r="D116" s="13">
        <v>1.79</v>
      </c>
      <c r="E116" s="13">
        <v>1.8591836734693876</v>
      </c>
      <c r="F116" s="13">
        <v>1.78</v>
      </c>
      <c r="G116" s="13">
        <f>AVERAGE(C116:F116)</f>
        <v>1.7320870781402558</v>
      </c>
    </row>
    <row r="117" spans="2:9" x14ac:dyDescent="0.25">
      <c r="B117" s="14" t="s">
        <v>60</v>
      </c>
      <c r="C117" s="13">
        <v>1.7576077586207166</v>
      </c>
      <c r="D117" s="13">
        <v>1.79</v>
      </c>
      <c r="E117" s="13">
        <v>1.8868888888888891</v>
      </c>
      <c r="F117" s="13">
        <v>1.78</v>
      </c>
      <c r="G117" s="13">
        <f>AVERAGE(C117:F117)</f>
        <v>1.8036241618774016</v>
      </c>
    </row>
    <row r="118" spans="2:9" x14ac:dyDescent="0.25">
      <c r="B118" s="14" t="s">
        <v>61</v>
      </c>
      <c r="C118" s="13">
        <v>1.7268611223253751</v>
      </c>
      <c r="D118" s="13">
        <v>1.74</v>
      </c>
      <c r="E118" s="13">
        <v>1.9896545105566219</v>
      </c>
      <c r="F118" s="58">
        <v>1.9896545105566219</v>
      </c>
      <c r="G118" s="13">
        <f>AVERAGE(C118:F118)</f>
        <v>1.8615425358596547</v>
      </c>
    </row>
    <row r="119" spans="2:9" x14ac:dyDescent="0.25">
      <c r="B119" s="62" t="s">
        <v>64</v>
      </c>
      <c r="C119" s="63"/>
      <c r="D119" s="63"/>
      <c r="E119" s="63"/>
      <c r="F119" s="63"/>
      <c r="G119" s="64"/>
    </row>
    <row r="120" spans="2:9" x14ac:dyDescent="0.25">
      <c r="B120" s="14" t="s">
        <v>59</v>
      </c>
      <c r="C120" s="13">
        <v>0</v>
      </c>
      <c r="D120" s="13">
        <v>1.43</v>
      </c>
      <c r="E120" s="13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3">
        <v>1.07</v>
      </c>
      <c r="F121" s="13">
        <v>1.43</v>
      </c>
      <c r="G121" s="13">
        <f>AVERAGE(C121:F121)</f>
        <v>1.3174999999999999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13">
        <v>1.336271186440678</v>
      </c>
      <c r="F122" s="13">
        <v>1.43</v>
      </c>
      <c r="G122" s="13">
        <f>AVERAGE(C122:F122)</f>
        <v>1.4065677966101693</v>
      </c>
    </row>
    <row r="123" spans="2:9" x14ac:dyDescent="0.25">
      <c r="B123" s="61"/>
      <c r="C123" s="61"/>
      <c r="D123" s="61"/>
      <c r="E123" s="61"/>
      <c r="F123" s="61"/>
      <c r="G123" s="61"/>
      <c r="H123" s="61"/>
    </row>
    <row r="124" spans="2:9" x14ac:dyDescent="0.25">
      <c r="B124" s="66" t="s">
        <v>65</v>
      </c>
      <c r="C124" s="67"/>
      <c r="D124" s="67"/>
      <c r="E124" s="67"/>
      <c r="F124" s="67"/>
      <c r="G124" s="68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6" t="s">
        <v>67</v>
      </c>
      <c r="C126" s="67"/>
      <c r="D126" s="67"/>
      <c r="E126" s="67"/>
      <c r="F126" s="67"/>
      <c r="G126" s="68"/>
    </row>
    <row r="127" spans="2:9" x14ac:dyDescent="0.25">
      <c r="B127" s="3" t="s">
        <v>68</v>
      </c>
      <c r="C127" s="13">
        <v>1.97</v>
      </c>
      <c r="D127" s="37">
        <v>2.094665</v>
      </c>
      <c r="E127" s="13">
        <v>2.3155356331142132</v>
      </c>
      <c r="F127" s="4">
        <v>0</v>
      </c>
      <c r="G127" s="11">
        <f>AVERAGE(C127:E127)</f>
        <v>2.1267335443714042</v>
      </c>
    </row>
    <row r="128" spans="2:9" x14ac:dyDescent="0.25">
      <c r="B128" s="73"/>
      <c r="C128" s="73"/>
      <c r="D128" s="73"/>
      <c r="E128" s="73"/>
      <c r="F128" s="73"/>
      <c r="G128" s="73"/>
      <c r="H128" s="73"/>
    </row>
    <row r="129" spans="2:9" x14ac:dyDescent="0.25">
      <c r="B129" s="60" t="s">
        <v>69</v>
      </c>
      <c r="C129" s="60"/>
      <c r="D129" s="60"/>
      <c r="E129" s="60"/>
      <c r="F129" s="60"/>
      <c r="G129" s="60"/>
    </row>
    <row r="130" spans="2:9" x14ac:dyDescent="0.25">
      <c r="B130" s="14" t="s">
        <v>70</v>
      </c>
      <c r="C130" s="27">
        <v>239896</v>
      </c>
      <c r="D130" s="27">
        <v>3447</v>
      </c>
      <c r="E130" s="27">
        <v>8119</v>
      </c>
      <c r="F130" s="27">
        <v>770</v>
      </c>
      <c r="G130" s="27">
        <f>SUM(C130:F130)</f>
        <v>252232</v>
      </c>
    </row>
    <row r="131" spans="2:9" x14ac:dyDescent="0.25">
      <c r="B131" s="14" t="s">
        <v>71</v>
      </c>
      <c r="C131" s="27">
        <v>158182.88860499999</v>
      </c>
      <c r="D131" s="27">
        <v>3804</v>
      </c>
      <c r="E131" s="27">
        <v>990</v>
      </c>
      <c r="F131" s="27">
        <v>724.16266700000006</v>
      </c>
      <c r="G131" s="11">
        <f>SUM(C131:F131)</f>
        <v>163701.05127199998</v>
      </c>
    </row>
    <row r="132" spans="2:9" x14ac:dyDescent="0.25">
      <c r="B132" s="61"/>
      <c r="C132" s="61"/>
      <c r="D132" s="61"/>
      <c r="E132" s="61"/>
      <c r="F132" s="61"/>
      <c r="G132" s="61"/>
      <c r="H132" s="61"/>
    </row>
    <row r="133" spans="2:9" x14ac:dyDescent="0.25">
      <c r="B133" s="60" t="s">
        <v>72</v>
      </c>
      <c r="C133" s="60"/>
      <c r="D133" s="60"/>
      <c r="E133" s="60"/>
      <c r="F133" s="60"/>
      <c r="G133" s="60"/>
    </row>
    <row r="134" spans="2:9" x14ac:dyDescent="0.25">
      <c r="B134" s="14" t="s">
        <v>73</v>
      </c>
      <c r="C134" s="27">
        <v>837658</v>
      </c>
      <c r="D134" s="27">
        <v>385180</v>
      </c>
      <c r="E134" s="27">
        <v>141271</v>
      </c>
      <c r="F134" s="27">
        <v>290470</v>
      </c>
      <c r="G134" s="27">
        <f>SUM(C134:F134)</f>
        <v>1654579</v>
      </c>
    </row>
    <row r="135" spans="2:9" x14ac:dyDescent="0.25">
      <c r="B135" s="61"/>
      <c r="C135" s="61"/>
      <c r="D135" s="61"/>
      <c r="E135" s="61"/>
      <c r="F135" s="61"/>
      <c r="G135" s="61"/>
      <c r="H135" s="61"/>
    </row>
    <row r="136" spans="2:9" ht="21" x14ac:dyDescent="0.35">
      <c r="B136" s="69" t="s">
        <v>74</v>
      </c>
      <c r="C136" s="69"/>
      <c r="D136" s="69"/>
      <c r="E136" s="69"/>
      <c r="F136" s="69"/>
      <c r="G136" s="69"/>
    </row>
    <row r="137" spans="2:9" x14ac:dyDescent="0.25">
      <c r="B137" s="60" t="s">
        <v>75</v>
      </c>
      <c r="C137" s="60"/>
      <c r="D137" s="60"/>
      <c r="E137" s="60"/>
      <c r="F137" s="60"/>
      <c r="G137" s="60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15275</v>
      </c>
      <c r="G138" s="27">
        <f>SUM(C138:F138)</f>
        <v>15275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195</v>
      </c>
      <c r="G139" s="27">
        <f>SUM(C139:F139)</f>
        <v>195</v>
      </c>
      <c r="H139" s="7"/>
      <c r="I139" s="7"/>
    </row>
    <row r="140" spans="2:9" x14ac:dyDescent="0.25">
      <c r="B140" s="61"/>
      <c r="C140" s="61"/>
      <c r="D140" s="61"/>
      <c r="E140" s="61"/>
      <c r="F140" s="61"/>
      <c r="G140" s="61"/>
      <c r="H140" s="61"/>
      <c r="I140" s="7"/>
    </row>
    <row r="141" spans="2:9" x14ac:dyDescent="0.25">
      <c r="B141" s="61"/>
      <c r="C141" s="61"/>
      <c r="D141" s="61"/>
      <c r="E141" s="61"/>
      <c r="F141" s="61"/>
      <c r="G141" s="61"/>
      <c r="H141" s="61"/>
    </row>
    <row r="142" spans="2:9" ht="21" x14ac:dyDescent="0.35">
      <c r="B142" s="70" t="s">
        <v>78</v>
      </c>
      <c r="C142" s="71"/>
      <c r="D142" s="71"/>
      <c r="E142" s="71"/>
      <c r="F142" s="71"/>
      <c r="G142" s="72"/>
    </row>
    <row r="143" spans="2:9" x14ac:dyDescent="0.25">
      <c r="B143" s="66" t="s">
        <v>79</v>
      </c>
      <c r="C143" s="67"/>
      <c r="D143" s="67"/>
      <c r="E143" s="67"/>
      <c r="F143" s="67"/>
      <c r="G143" s="68"/>
    </row>
    <row r="144" spans="2:9" x14ac:dyDescent="0.25">
      <c r="B144" s="61"/>
      <c r="C144" s="61"/>
      <c r="D144" s="61"/>
      <c r="E144" s="61"/>
      <c r="F144" s="61"/>
      <c r="G144" s="61"/>
      <c r="H144" s="61"/>
    </row>
    <row r="145" spans="2:8" x14ac:dyDescent="0.25">
      <c r="B145" s="65" t="s">
        <v>80</v>
      </c>
      <c r="C145" s="65"/>
      <c r="D145" s="65"/>
      <c r="E145" s="65"/>
      <c r="F145" s="65"/>
      <c r="G145" s="65"/>
    </row>
    <row r="146" spans="2:8" x14ac:dyDescent="0.25">
      <c r="B146" s="14" t="s">
        <v>81</v>
      </c>
      <c r="C146" s="27">
        <v>0</v>
      </c>
      <c r="D146" s="27">
        <v>1460</v>
      </c>
      <c r="E146" s="27"/>
      <c r="F146" s="27">
        <v>1080</v>
      </c>
      <c r="G146" s="27">
        <f>SUM(C146:F146)</f>
        <v>2540</v>
      </c>
    </row>
    <row r="147" spans="2:8" x14ac:dyDescent="0.25">
      <c r="B147" s="14" t="s">
        <v>82</v>
      </c>
      <c r="C147" s="27">
        <v>0</v>
      </c>
      <c r="D147" s="27">
        <v>32.024000000000001</v>
      </c>
      <c r="E147" s="27"/>
      <c r="F147" s="27">
        <v>11.694000000000001</v>
      </c>
      <c r="G147" s="11">
        <f>SUM(C147:F147)</f>
        <v>43.718000000000004</v>
      </c>
    </row>
    <row r="148" spans="2:8" x14ac:dyDescent="0.25">
      <c r="B148" s="61"/>
      <c r="C148" s="61"/>
      <c r="D148" s="61"/>
      <c r="E148" s="61"/>
      <c r="F148" s="61"/>
      <c r="G148" s="61"/>
      <c r="H148" s="61"/>
    </row>
    <row r="149" spans="2:8" x14ac:dyDescent="0.25">
      <c r="B149" s="65" t="s">
        <v>83</v>
      </c>
      <c r="C149" s="65"/>
      <c r="D149" s="65"/>
      <c r="E149" s="65"/>
      <c r="F149" s="65"/>
      <c r="G149" s="65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1"/>
      <c r="C152" s="61"/>
      <c r="D152" s="61"/>
      <c r="E152" s="61"/>
      <c r="F152" s="61"/>
      <c r="G152" s="61"/>
      <c r="H152" s="61"/>
    </row>
    <row r="153" spans="2:8" x14ac:dyDescent="0.25">
      <c r="B153" s="65" t="s">
        <v>86</v>
      </c>
      <c r="C153" s="65"/>
      <c r="D153" s="65"/>
      <c r="E153" s="65"/>
      <c r="F153" s="65"/>
      <c r="G153" s="65"/>
    </row>
    <row r="154" spans="2:8" x14ac:dyDescent="0.25">
      <c r="B154" s="14" t="s">
        <v>87</v>
      </c>
      <c r="C154" s="27">
        <v>0</v>
      </c>
      <c r="D154" s="27">
        <v>223</v>
      </c>
      <c r="E154" s="27">
        <v>0</v>
      </c>
      <c r="F154" s="27">
        <v>0</v>
      </c>
      <c r="G154" s="27">
        <f>SUM(C154:F154)</f>
        <v>223</v>
      </c>
      <c r="H154"/>
    </row>
    <row r="155" spans="2:8" x14ac:dyDescent="0.25">
      <c r="B155" s="14" t="s">
        <v>88</v>
      </c>
      <c r="C155" s="27">
        <v>0</v>
      </c>
      <c r="D155" s="27">
        <v>2.86</v>
      </c>
      <c r="E155" s="27">
        <v>0</v>
      </c>
      <c r="F155" s="27">
        <v>0</v>
      </c>
      <c r="G155" s="11">
        <f>SUM(C155:F155)</f>
        <v>2.86</v>
      </c>
      <c r="H155"/>
    </row>
    <row r="156" spans="2:8" x14ac:dyDescent="0.25">
      <c r="B156" s="61"/>
      <c r="C156" s="61"/>
      <c r="D156" s="61"/>
      <c r="E156" s="61"/>
      <c r="F156" s="61"/>
      <c r="G156" s="61"/>
      <c r="H156" s="61"/>
    </row>
    <row r="157" spans="2:8" x14ac:dyDescent="0.25">
      <c r="B157" s="62" t="s">
        <v>89</v>
      </c>
      <c r="C157" s="63"/>
      <c r="D157" s="63"/>
      <c r="E157" s="63"/>
      <c r="F157" s="63"/>
      <c r="G157" s="64"/>
    </row>
    <row r="158" spans="2:8" x14ac:dyDescent="0.25">
      <c r="B158" s="18" t="s">
        <v>90</v>
      </c>
      <c r="C158" s="19">
        <v>0</v>
      </c>
      <c r="D158" s="19">
        <v>1683</v>
      </c>
      <c r="E158" s="19">
        <v>0</v>
      </c>
      <c r="F158" s="19">
        <f>+F146+F154</f>
        <v>1080</v>
      </c>
      <c r="G158" s="19">
        <f>SUM(C158:F158)</f>
        <v>2763</v>
      </c>
    </row>
    <row r="159" spans="2:8" x14ac:dyDescent="0.25">
      <c r="B159" s="18" t="s">
        <v>91</v>
      </c>
      <c r="C159" s="19">
        <v>0</v>
      </c>
      <c r="D159" s="19">
        <v>34.884</v>
      </c>
      <c r="E159" s="19">
        <v>0</v>
      </c>
      <c r="F159" s="19">
        <f>+F147+F155</f>
        <v>11.694000000000001</v>
      </c>
      <c r="G159" s="22">
        <f>SUM(C159:F159)</f>
        <v>46.578000000000003</v>
      </c>
    </row>
    <row r="160" spans="2:8" x14ac:dyDescent="0.25">
      <c r="B160" s="61"/>
      <c r="C160" s="61"/>
      <c r="D160" s="61"/>
      <c r="E160" s="61"/>
      <c r="F160" s="61"/>
      <c r="G160" s="61"/>
      <c r="H160" s="61"/>
    </row>
    <row r="161" spans="2:8" x14ac:dyDescent="0.25">
      <c r="B161" s="60" t="s">
        <v>92</v>
      </c>
      <c r="C161" s="60"/>
      <c r="D161" s="60"/>
      <c r="E161" s="60"/>
      <c r="F161" s="60"/>
      <c r="G161" s="60"/>
    </row>
    <row r="162" spans="2:8" x14ac:dyDescent="0.25">
      <c r="B162" s="14" t="s">
        <v>87</v>
      </c>
      <c r="C162" s="27">
        <v>2484</v>
      </c>
      <c r="D162" s="27">
        <v>42651</v>
      </c>
      <c r="E162" s="27">
        <v>5318</v>
      </c>
      <c r="F162" s="27">
        <v>25370</v>
      </c>
      <c r="G162" s="27">
        <f>SUM(C162:F162)</f>
        <v>75823</v>
      </c>
    </row>
    <row r="163" spans="2:8" x14ac:dyDescent="0.25">
      <c r="B163" s="14" t="s">
        <v>88</v>
      </c>
      <c r="C163" s="27">
        <f>59163514/1000000</f>
        <v>59.163513999999999</v>
      </c>
      <c r="D163" s="27">
        <v>224.88683099999997</v>
      </c>
      <c r="E163" s="27">
        <v>83.471367000000001</v>
      </c>
      <c r="F163" s="27">
        <v>161.55137500000001</v>
      </c>
      <c r="G163" s="11">
        <f>SUM(C163:F163)</f>
        <v>529.07308699999999</v>
      </c>
    </row>
    <row r="164" spans="2:8" x14ac:dyDescent="0.25">
      <c r="B164" s="61"/>
      <c r="C164" s="61"/>
      <c r="D164" s="61"/>
      <c r="E164" s="61"/>
      <c r="F164" s="61"/>
      <c r="G164" s="61"/>
    </row>
    <row r="165" spans="2:8" x14ac:dyDescent="0.25">
      <c r="B165" s="66" t="s">
        <v>93</v>
      </c>
      <c r="C165" s="67"/>
      <c r="D165" s="67"/>
      <c r="E165" s="67"/>
      <c r="F165" s="67"/>
      <c r="G165" s="68"/>
    </row>
    <row r="166" spans="2:8" x14ac:dyDescent="0.25">
      <c r="B166" s="62" t="s">
        <v>94</v>
      </c>
      <c r="C166" s="63"/>
      <c r="D166" s="63"/>
      <c r="E166" s="63"/>
      <c r="F166" s="63"/>
      <c r="G166" s="64"/>
    </row>
    <row r="167" spans="2:8" x14ac:dyDescent="0.25">
      <c r="B167" s="14" t="s">
        <v>95</v>
      </c>
      <c r="C167" s="27">
        <v>751</v>
      </c>
      <c r="D167" s="27">
        <v>3068</v>
      </c>
      <c r="E167" s="27">
        <v>80</v>
      </c>
      <c r="F167" s="27">
        <v>468</v>
      </c>
      <c r="G167" s="27">
        <f>SUM(C167:F167)</f>
        <v>4367</v>
      </c>
    </row>
    <row r="168" spans="2:8" x14ac:dyDescent="0.25">
      <c r="B168" s="14" t="s">
        <v>96</v>
      </c>
      <c r="C168" s="27">
        <f>26285000/1000000</f>
        <v>26.285</v>
      </c>
      <c r="D168" s="27">
        <v>70.86038400000001</v>
      </c>
      <c r="E168" s="27">
        <v>2.6</v>
      </c>
      <c r="F168" s="27">
        <v>17</v>
      </c>
      <c r="G168" s="11">
        <f>SUM(C168:F168)</f>
        <v>116.745384</v>
      </c>
    </row>
    <row r="169" spans="2:8" x14ac:dyDescent="0.25">
      <c r="B169" s="61"/>
      <c r="C169" s="61"/>
      <c r="D169" s="61"/>
      <c r="E169" s="61"/>
      <c r="F169" s="61"/>
      <c r="G169" s="61"/>
    </row>
    <row r="170" spans="2:8" x14ac:dyDescent="0.25">
      <c r="B170" s="62" t="s">
        <v>97</v>
      </c>
      <c r="C170" s="63"/>
      <c r="D170" s="63"/>
      <c r="E170" s="63"/>
      <c r="F170" s="63"/>
      <c r="G170" s="64"/>
    </row>
    <row r="171" spans="2:8" x14ac:dyDescent="0.25">
      <c r="B171" s="14" t="s">
        <v>98</v>
      </c>
      <c r="C171" s="27">
        <v>1692</v>
      </c>
      <c r="D171" s="27">
        <v>437</v>
      </c>
      <c r="E171" s="27">
        <v>110</v>
      </c>
      <c r="F171" s="27">
        <v>332</v>
      </c>
      <c r="G171" s="27">
        <f>SUM(C171:F171)</f>
        <v>2571</v>
      </c>
    </row>
    <row r="172" spans="2:8" x14ac:dyDescent="0.25">
      <c r="B172" s="14" t="s">
        <v>96</v>
      </c>
      <c r="C172" s="27">
        <f>59220000/1000000</f>
        <v>59.22</v>
      </c>
      <c r="D172" s="27">
        <v>9.1769999999999996</v>
      </c>
      <c r="E172" s="27">
        <v>2.8</v>
      </c>
      <c r="F172" s="27">
        <v>7.298</v>
      </c>
      <c r="G172" s="11">
        <f>SUM(C172:F172)</f>
        <v>78.49499999999999</v>
      </c>
    </row>
    <row r="173" spans="2:8" x14ac:dyDescent="0.25">
      <c r="B173" s="61"/>
      <c r="C173" s="61"/>
      <c r="D173" s="61"/>
      <c r="E173" s="61"/>
      <c r="F173" s="61"/>
      <c r="G173" s="61"/>
      <c r="H173" s="61"/>
    </row>
    <row r="174" spans="2:8" x14ac:dyDescent="0.25">
      <c r="B174" s="62" t="s">
        <v>99</v>
      </c>
      <c r="C174" s="63"/>
      <c r="D174" s="63"/>
      <c r="E174" s="63"/>
      <c r="F174" s="63"/>
      <c r="G174" s="64"/>
    </row>
    <row r="175" spans="2:8" x14ac:dyDescent="0.25">
      <c r="B175" s="14" t="s">
        <v>98</v>
      </c>
      <c r="C175" s="27">
        <v>190</v>
      </c>
      <c r="D175" s="27">
        <v>327</v>
      </c>
      <c r="E175" s="27">
        <v>169</v>
      </c>
      <c r="F175" s="27">
        <v>35</v>
      </c>
      <c r="G175" s="27">
        <f>SUM(C175:F175)</f>
        <v>721</v>
      </c>
    </row>
    <row r="176" spans="2:8" x14ac:dyDescent="0.25">
      <c r="B176" s="14" t="s">
        <v>96</v>
      </c>
      <c r="C176" s="27">
        <f>19840000/1000000</f>
        <v>19.84</v>
      </c>
      <c r="D176" s="27">
        <v>34.51</v>
      </c>
      <c r="E176" s="27">
        <v>9.74</v>
      </c>
      <c r="F176" s="27">
        <v>3.51</v>
      </c>
      <c r="G176" s="11">
        <f>SUM(C176:F176)</f>
        <v>67.599999999999994</v>
      </c>
    </row>
    <row r="177" spans="2:8" x14ac:dyDescent="0.25">
      <c r="B177" s="61"/>
      <c r="C177" s="61"/>
      <c r="D177" s="61"/>
      <c r="E177" s="61"/>
      <c r="F177" s="61"/>
      <c r="G177" s="61"/>
      <c r="H177" s="61"/>
    </row>
    <row r="178" spans="2:8" x14ac:dyDescent="0.25">
      <c r="B178" s="62" t="s">
        <v>100</v>
      </c>
      <c r="C178" s="63"/>
      <c r="D178" s="63"/>
      <c r="E178" s="63"/>
      <c r="F178" s="63"/>
      <c r="G178" s="64"/>
    </row>
    <row r="179" spans="2:8" x14ac:dyDescent="0.25">
      <c r="B179" s="14" t="s">
        <v>98</v>
      </c>
      <c r="C179" s="27">
        <v>261</v>
      </c>
      <c r="D179" s="27">
        <v>241055</v>
      </c>
      <c r="E179" s="27">
        <v>0</v>
      </c>
      <c r="F179" s="27">
        <v>0</v>
      </c>
      <c r="G179" s="27">
        <f>SUM(C179:F179)</f>
        <v>241316</v>
      </c>
    </row>
    <row r="180" spans="2:8" x14ac:dyDescent="0.25">
      <c r="B180" s="14" t="s">
        <v>96</v>
      </c>
      <c r="C180" s="27">
        <f>10625000/1000000</f>
        <v>10.625</v>
      </c>
      <c r="D180" s="27">
        <v>3586.03212544703</v>
      </c>
      <c r="E180" s="27">
        <v>0</v>
      </c>
      <c r="F180" s="27">
        <v>0</v>
      </c>
      <c r="G180" s="11">
        <f>SUM(C180:F180)</f>
        <v>3596.65712544703</v>
      </c>
    </row>
    <row r="181" spans="2:8" x14ac:dyDescent="0.25">
      <c r="B181" s="61"/>
      <c r="C181" s="61"/>
      <c r="D181" s="61"/>
      <c r="E181" s="61"/>
      <c r="F181" s="61"/>
      <c r="G181" s="61"/>
      <c r="H181" s="61"/>
    </row>
    <row r="182" spans="2:8" x14ac:dyDescent="0.25">
      <c r="B182" s="60" t="s">
        <v>101</v>
      </c>
      <c r="C182" s="60"/>
      <c r="D182" s="60"/>
      <c r="E182" s="60"/>
      <c r="F182" s="60"/>
      <c r="G182" s="60"/>
    </row>
    <row r="183" spans="2:8" x14ac:dyDescent="0.25">
      <c r="B183" s="18" t="s">
        <v>102</v>
      </c>
      <c r="C183" s="19">
        <f>+C179+C175+C171+C167</f>
        <v>2894</v>
      </c>
      <c r="D183" s="19">
        <v>244887</v>
      </c>
      <c r="E183" s="19">
        <v>359</v>
      </c>
      <c r="F183" s="19">
        <f>+F179+F175+F171+F167</f>
        <v>835</v>
      </c>
      <c r="G183" s="19">
        <f>SUM(C183:F183)</f>
        <v>248975</v>
      </c>
    </row>
    <row r="184" spans="2:8" x14ac:dyDescent="0.25">
      <c r="B184" s="18" t="s">
        <v>103</v>
      </c>
      <c r="C184" s="19">
        <f>+C180+C176+C172+C168</f>
        <v>115.97</v>
      </c>
      <c r="D184" s="19">
        <v>3700.57950944703</v>
      </c>
      <c r="E184" s="19">
        <v>15.14</v>
      </c>
      <c r="F184" s="19">
        <f>+F180+F176+F172+F168</f>
        <v>27.808</v>
      </c>
      <c r="G184" s="22">
        <f>SUM(C184:F184)</f>
        <v>3859.4975094470296</v>
      </c>
    </row>
    <row r="185" spans="2:8" x14ac:dyDescent="0.25">
      <c r="B185" s="61"/>
      <c r="C185" s="61"/>
      <c r="D185" s="61"/>
      <c r="E185" s="61"/>
      <c r="F185" s="61"/>
      <c r="G185" s="61"/>
      <c r="H185" s="61"/>
    </row>
    <row r="186" spans="2:8" x14ac:dyDescent="0.25">
      <c r="B186" s="60" t="s">
        <v>104</v>
      </c>
      <c r="C186" s="60"/>
      <c r="D186" s="60"/>
      <c r="E186" s="60"/>
      <c r="F186" s="60"/>
      <c r="G186" s="60"/>
    </row>
    <row r="187" spans="2:8" x14ac:dyDescent="0.25">
      <c r="B187" s="14" t="s">
        <v>105</v>
      </c>
      <c r="C187" s="27">
        <v>2834</v>
      </c>
      <c r="D187" s="27">
        <v>4278</v>
      </c>
      <c r="E187" s="27">
        <v>65</v>
      </c>
      <c r="F187" s="27">
        <v>27285</v>
      </c>
      <c r="G187" s="27">
        <f>SUM(C187:F187)</f>
        <v>34462</v>
      </c>
    </row>
    <row r="188" spans="2:8" x14ac:dyDescent="0.25">
      <c r="B188" s="14" t="s">
        <v>106</v>
      </c>
      <c r="C188" s="27">
        <f>26489348/1000000</f>
        <v>26.489348</v>
      </c>
      <c r="D188" s="27">
        <v>231.704836</v>
      </c>
      <c r="E188" s="27">
        <v>2.6</v>
      </c>
      <c r="F188" s="27">
        <v>201.073375</v>
      </c>
      <c r="G188" s="11">
        <f>SUM(C188:F188)</f>
        <v>461.86755900000003</v>
      </c>
    </row>
    <row r="189" spans="2:8" x14ac:dyDescent="0.25">
      <c r="B189" s="61"/>
      <c r="C189" s="61"/>
      <c r="D189" s="61"/>
      <c r="E189" s="61"/>
      <c r="F189" s="61"/>
      <c r="G189" s="61"/>
      <c r="H189" s="61"/>
    </row>
    <row r="190" spans="2:8" x14ac:dyDescent="0.25">
      <c r="B190" s="60" t="s">
        <v>107</v>
      </c>
      <c r="C190" s="60"/>
      <c r="D190" s="60"/>
      <c r="E190" s="60"/>
      <c r="F190" s="60"/>
      <c r="G190" s="60"/>
    </row>
    <row r="191" spans="2:8" x14ac:dyDescent="0.25">
      <c r="B191" s="18" t="s">
        <v>108</v>
      </c>
      <c r="C191" s="19">
        <f>C187+C162+C183</f>
        <v>8212</v>
      </c>
      <c r="D191" s="19">
        <v>293499</v>
      </c>
      <c r="E191" s="19">
        <v>5742</v>
      </c>
      <c r="F191" s="19">
        <f>F158+F162+F183+F187</f>
        <v>54570</v>
      </c>
      <c r="G191" s="19">
        <f>SUM(C191:F191)</f>
        <v>362023</v>
      </c>
    </row>
    <row r="192" spans="2:8" x14ac:dyDescent="0.25">
      <c r="B192" s="18" t="s">
        <v>109</v>
      </c>
      <c r="C192" s="19">
        <f>C188+C163+C184</f>
        <v>201.622862</v>
      </c>
      <c r="D192" s="19">
        <v>4192.0551764470301</v>
      </c>
      <c r="E192" s="19">
        <v>101.211367</v>
      </c>
      <c r="F192" s="19">
        <f>F159+F184+F163+F188</f>
        <v>402.12675000000002</v>
      </c>
      <c r="G192" s="22">
        <f>SUM(C192:F192)</f>
        <v>4897.0161554470305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D6B81-47F3-49EF-B97C-383C9B539BD1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5.28515625" style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1" t="s">
        <v>1</v>
      </c>
      <c r="D2" s="82"/>
      <c r="E2" s="82"/>
      <c r="F2" s="82"/>
      <c r="G2" s="8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0" t="s">
        <v>7</v>
      </c>
      <c r="C4" s="71"/>
      <c r="D4" s="71"/>
      <c r="E4" s="71"/>
      <c r="F4" s="71"/>
      <c r="G4" s="72"/>
    </row>
    <row r="5" spans="1:7" x14ac:dyDescent="0.25">
      <c r="B5" s="66" t="s">
        <v>8</v>
      </c>
      <c r="C5" s="67"/>
      <c r="D5" s="67"/>
      <c r="E5" s="67"/>
      <c r="F5" s="67"/>
      <c r="G5" s="68"/>
    </row>
    <row r="6" spans="1:7" x14ac:dyDescent="0.25">
      <c r="B6" s="4" t="s">
        <v>9</v>
      </c>
      <c r="C6" s="12">
        <v>55187</v>
      </c>
      <c r="D6" s="12">
        <v>8193</v>
      </c>
      <c r="E6" s="12">
        <v>8214</v>
      </c>
      <c r="F6" s="12">
        <v>9869</v>
      </c>
      <c r="G6" s="12">
        <f>+F6+E6+D6+C6</f>
        <v>81463</v>
      </c>
    </row>
    <row r="7" spans="1:7" x14ac:dyDescent="0.25">
      <c r="B7" s="14" t="s">
        <v>10</v>
      </c>
      <c r="C7" s="12">
        <v>553</v>
      </c>
      <c r="D7" s="12">
        <v>254</v>
      </c>
      <c r="E7" s="12">
        <v>24</v>
      </c>
      <c r="F7" s="12">
        <v>147</v>
      </c>
      <c r="G7" s="12">
        <f>+F7+E7+D7+C7</f>
        <v>978</v>
      </c>
    </row>
    <row r="8" spans="1:7" x14ac:dyDescent="0.25">
      <c r="B8" s="18" t="s">
        <v>11</v>
      </c>
      <c r="C8" s="25">
        <f>SUM(C6:C7)</f>
        <v>55740</v>
      </c>
      <c r="D8" s="25">
        <f>+D6+D7</f>
        <v>8447</v>
      </c>
      <c r="E8" s="25">
        <v>8238</v>
      </c>
      <c r="F8" s="25">
        <v>10016</v>
      </c>
      <c r="G8" s="25">
        <f>+F8+E8+D8+C8</f>
        <v>82441</v>
      </c>
    </row>
    <row r="9" spans="1:7" x14ac:dyDescent="0.25">
      <c r="B9" s="61"/>
      <c r="C9" s="61"/>
      <c r="D9" s="61"/>
      <c r="E9" s="61"/>
      <c r="F9" s="61"/>
      <c r="G9" s="61"/>
    </row>
    <row r="10" spans="1:7" x14ac:dyDescent="0.25">
      <c r="B10" s="66" t="s">
        <v>12</v>
      </c>
      <c r="C10" s="67"/>
      <c r="D10" s="67"/>
      <c r="E10" s="67"/>
      <c r="F10" s="67"/>
      <c r="G10" s="68"/>
    </row>
    <row r="11" spans="1:7" x14ac:dyDescent="0.25">
      <c r="B11" s="62" t="s">
        <v>13</v>
      </c>
      <c r="C11" s="63"/>
      <c r="D11" s="63"/>
      <c r="E11" s="63"/>
      <c r="F11" s="63"/>
      <c r="G11" s="64"/>
    </row>
    <row r="12" spans="1:7" x14ac:dyDescent="0.25">
      <c r="B12" s="16" t="s">
        <v>14</v>
      </c>
      <c r="C12" s="17">
        <v>779134</v>
      </c>
      <c r="D12" s="17">
        <v>101799</v>
      </c>
      <c r="E12" s="17">
        <v>42664</v>
      </c>
      <c r="F12" s="17">
        <v>0</v>
      </c>
      <c r="G12" s="17">
        <f>SUM(C12:F12)</f>
        <v>923597</v>
      </c>
    </row>
    <row r="13" spans="1:7" x14ac:dyDescent="0.25">
      <c r="B13" s="16" t="s">
        <v>15</v>
      </c>
      <c r="C13" s="17">
        <v>2569710</v>
      </c>
      <c r="D13" s="17">
        <v>545384</v>
      </c>
      <c r="E13" s="17">
        <v>239600</v>
      </c>
      <c r="F13" s="17">
        <v>0</v>
      </c>
      <c r="G13" s="17">
        <f>SUM(C13:F13)</f>
        <v>3354694</v>
      </c>
    </row>
    <row r="14" spans="1:7" x14ac:dyDescent="0.25">
      <c r="B14" s="18" t="s">
        <v>16</v>
      </c>
      <c r="C14" s="19">
        <f>C13+C12</f>
        <v>3348844</v>
      </c>
      <c r="D14" s="19">
        <v>956515</v>
      </c>
      <c r="E14" s="19">
        <v>282264</v>
      </c>
      <c r="F14" s="19">
        <v>356923</v>
      </c>
      <c r="G14" s="19">
        <f>SUM(C14:F14)</f>
        <v>4944546</v>
      </c>
    </row>
    <row r="15" spans="1:7" x14ac:dyDescent="0.25">
      <c r="B15" s="18" t="s">
        <v>17</v>
      </c>
      <c r="C15" s="19">
        <v>526557</v>
      </c>
      <c r="D15" s="19">
        <v>168256</v>
      </c>
      <c r="E15" s="19">
        <v>3263</v>
      </c>
      <c r="F15" s="19">
        <v>150760</v>
      </c>
      <c r="G15" s="19">
        <f>SUM(C15:F15)</f>
        <v>848836</v>
      </c>
    </row>
    <row r="16" spans="1:7" x14ac:dyDescent="0.25">
      <c r="B16" s="18" t="s">
        <v>18</v>
      </c>
      <c r="C16" s="19">
        <f>C15+C14</f>
        <v>3875401</v>
      </c>
      <c r="D16" s="19">
        <v>1124771</v>
      </c>
      <c r="E16" s="19">
        <v>285527</v>
      </c>
      <c r="F16" s="19">
        <v>507683</v>
      </c>
      <c r="G16" s="19">
        <f>SUM(C16:F16)</f>
        <v>5793382</v>
      </c>
    </row>
    <row r="17" spans="2:8" x14ac:dyDescent="0.25">
      <c r="B17" s="61"/>
      <c r="C17" s="61"/>
      <c r="D17" s="61"/>
      <c r="E17" s="61"/>
      <c r="F17" s="61"/>
      <c r="G17" s="61"/>
    </row>
    <row r="18" spans="2:8" x14ac:dyDescent="0.25">
      <c r="B18" s="62" t="s">
        <v>19</v>
      </c>
      <c r="C18" s="63"/>
      <c r="D18" s="63"/>
      <c r="E18" s="63"/>
      <c r="F18" s="63"/>
      <c r="G18" s="64"/>
    </row>
    <row r="19" spans="2:8" x14ac:dyDescent="0.25">
      <c r="B19" s="14" t="s">
        <v>20</v>
      </c>
      <c r="C19" s="56">
        <v>3483</v>
      </c>
      <c r="D19" s="27">
        <v>4</v>
      </c>
      <c r="E19" s="27">
        <v>0</v>
      </c>
      <c r="F19" s="27">
        <v>0</v>
      </c>
      <c r="G19" s="27">
        <f>SUM(C19:F19)</f>
        <v>3487</v>
      </c>
    </row>
    <row r="20" spans="2:8" x14ac:dyDescent="0.25">
      <c r="B20" s="84"/>
      <c r="C20" s="84"/>
      <c r="D20" s="84"/>
      <c r="E20" s="84"/>
      <c r="F20" s="84"/>
      <c r="G20" s="84"/>
    </row>
    <row r="21" spans="2:8" x14ac:dyDescent="0.25">
      <c r="B21" s="18" t="s">
        <v>21</v>
      </c>
      <c r="C21" s="19">
        <f>+C19+C16</f>
        <v>3878884</v>
      </c>
      <c r="D21" s="19">
        <v>1124775</v>
      </c>
      <c r="E21" s="19">
        <v>285527</v>
      </c>
      <c r="F21" s="19">
        <f>F16</f>
        <v>507683</v>
      </c>
      <c r="G21" s="19">
        <f>SUM(C21:F21)</f>
        <v>5796869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406139</v>
      </c>
      <c r="D24" s="19">
        <v>203219</v>
      </c>
      <c r="E24" s="19">
        <v>147013</v>
      </c>
      <c r="F24" s="19">
        <v>683934</v>
      </c>
      <c r="G24" s="19">
        <f>SUM(C24:F24)</f>
        <v>1440305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4285023</v>
      </c>
      <c r="D27" s="19">
        <f>+D24+D21</f>
        <v>1327994</v>
      </c>
      <c r="E27" s="19">
        <f>E21+E24</f>
        <v>432540</v>
      </c>
      <c r="F27" s="19">
        <f>+F24+F21</f>
        <v>1191617</v>
      </c>
      <c r="G27" s="19">
        <f>SUM(C27:F27)</f>
        <v>7237174</v>
      </c>
    </row>
    <row r="28" spans="2:8" x14ac:dyDescent="0.25">
      <c r="B28" s="61"/>
      <c r="C28" s="61"/>
      <c r="D28" s="61"/>
      <c r="E28" s="61"/>
      <c r="F28" s="61"/>
      <c r="G28" s="61"/>
      <c r="H28" s="61"/>
    </row>
    <row r="29" spans="2:8" x14ac:dyDescent="0.25">
      <c r="B29" s="66" t="s">
        <v>26</v>
      </c>
      <c r="C29" s="67"/>
      <c r="D29" s="67"/>
      <c r="E29" s="67"/>
      <c r="F29" s="67"/>
      <c r="G29" s="68"/>
    </row>
    <row r="30" spans="2:8" x14ac:dyDescent="0.25">
      <c r="B30" s="14" t="s">
        <v>27</v>
      </c>
      <c r="C30" s="27">
        <v>1319169</v>
      </c>
      <c r="D30" s="27">
        <v>129682</v>
      </c>
      <c r="E30" s="27">
        <v>78917</v>
      </c>
      <c r="F30" s="27">
        <v>207309</v>
      </c>
      <c r="G30" s="27">
        <f>SUM(C30:F30)</f>
        <v>1735077</v>
      </c>
    </row>
    <row r="31" spans="2:8" x14ac:dyDescent="0.25">
      <c r="B31" s="61"/>
      <c r="C31" s="61"/>
      <c r="D31" s="61"/>
      <c r="E31" s="61"/>
      <c r="F31" s="61"/>
      <c r="G31" s="61"/>
      <c r="H31" s="61"/>
    </row>
    <row r="32" spans="2:8" x14ac:dyDescent="0.25">
      <c r="B32" s="66" t="s">
        <v>28</v>
      </c>
      <c r="C32" s="67"/>
      <c r="D32" s="67"/>
      <c r="E32" s="67"/>
      <c r="F32" s="67"/>
      <c r="G32" s="68"/>
    </row>
    <row r="33" spans="2:9" x14ac:dyDescent="0.25">
      <c r="B33" s="14" t="s">
        <v>29</v>
      </c>
      <c r="C33" s="27">
        <v>4016947639903</v>
      </c>
      <c r="D33" s="27">
        <v>689948630672</v>
      </c>
      <c r="E33" s="27">
        <v>269574718471</v>
      </c>
      <c r="F33" s="27">
        <v>483421691833</v>
      </c>
      <c r="G33" s="27">
        <f>SUM(C33:F33)</f>
        <v>5459892680879</v>
      </c>
    </row>
    <row r="34" spans="2:9" x14ac:dyDescent="0.25">
      <c r="B34" s="14" t="s">
        <v>30</v>
      </c>
      <c r="C34" s="27">
        <v>177641644752</v>
      </c>
      <c r="D34" s="27">
        <v>72261338659</v>
      </c>
      <c r="E34" s="27">
        <v>45177682800</v>
      </c>
      <c r="F34" s="27">
        <v>208630546438</v>
      </c>
      <c r="G34" s="27">
        <f>SUM(C34:F34)</f>
        <v>503711212649</v>
      </c>
    </row>
    <row r="35" spans="2:9" x14ac:dyDescent="0.25">
      <c r="B35" s="39" t="s">
        <v>31</v>
      </c>
      <c r="C35" s="40">
        <f>SUM(C33:C34)</f>
        <v>4194589284655</v>
      </c>
      <c r="D35" s="40">
        <f>+D34+D33</f>
        <v>762209969331</v>
      </c>
      <c r="E35" s="40">
        <v>314752401271</v>
      </c>
      <c r="F35" s="40">
        <v>692052238271</v>
      </c>
      <c r="G35" s="40">
        <f>SUM(C35:F35)</f>
        <v>5963603893528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0" t="s">
        <v>33</v>
      </c>
      <c r="C38" s="71"/>
      <c r="D38" s="71"/>
      <c r="E38" s="71"/>
      <c r="F38" s="71"/>
      <c r="G38" s="72"/>
    </row>
    <row r="39" spans="2:9" x14ac:dyDescent="0.25">
      <c r="B39" s="66" t="s">
        <v>34</v>
      </c>
      <c r="C39" s="67"/>
      <c r="D39" s="67"/>
      <c r="E39" s="67"/>
      <c r="F39" s="67"/>
      <c r="G39" s="68"/>
    </row>
    <row r="40" spans="2:9" x14ac:dyDescent="0.25">
      <c r="B40" s="14" t="s">
        <v>35</v>
      </c>
      <c r="C40" s="27">
        <v>731240</v>
      </c>
      <c r="D40" s="27">
        <v>115115</v>
      </c>
      <c r="E40" s="27">
        <v>52151</v>
      </c>
      <c r="F40" s="27">
        <v>72478</v>
      </c>
      <c r="G40" s="27">
        <f>SUM(C40:F40)</f>
        <v>970984</v>
      </c>
      <c r="H40" s="7"/>
      <c r="I40" s="7"/>
    </row>
    <row r="41" spans="2:9" x14ac:dyDescent="0.25">
      <c r="B41" s="14" t="s">
        <v>36</v>
      </c>
      <c r="C41" s="27">
        <f>4640322727/1000000</f>
        <v>4640.3227269999998</v>
      </c>
      <c r="D41" s="27">
        <v>1261</v>
      </c>
      <c r="E41" s="27">
        <v>555</v>
      </c>
      <c r="F41" s="27">
        <v>736.31333299999994</v>
      </c>
      <c r="G41" s="11">
        <f>SUM(C41:F41)</f>
        <v>7192.6360599999998</v>
      </c>
      <c r="H41" s="7"/>
      <c r="I41" s="7"/>
    </row>
    <row r="42" spans="2:9" x14ac:dyDescent="0.25">
      <c r="B42" s="61"/>
      <c r="C42" s="61"/>
      <c r="D42" s="61"/>
      <c r="E42" s="61"/>
      <c r="F42" s="61"/>
      <c r="G42" s="61"/>
      <c r="H42" s="61"/>
      <c r="I42" s="7"/>
    </row>
    <row r="43" spans="2:9" x14ac:dyDescent="0.25">
      <c r="B43" s="60" t="s">
        <v>37</v>
      </c>
      <c r="C43" s="60"/>
      <c r="D43" s="60"/>
      <c r="E43" s="60"/>
      <c r="F43" s="60"/>
      <c r="G43" s="60"/>
      <c r="I43" s="7"/>
    </row>
    <row r="44" spans="2:9" x14ac:dyDescent="0.25">
      <c r="B44" s="14" t="s">
        <v>38</v>
      </c>
      <c r="C44" s="27">
        <v>5</v>
      </c>
      <c r="D44" s="27">
        <v>2</v>
      </c>
      <c r="E44" s="27">
        <v>0</v>
      </c>
      <c r="F44" s="27">
        <v>0</v>
      </c>
      <c r="G44" s="27">
        <f>SUM(C44:F44)</f>
        <v>7</v>
      </c>
      <c r="H44" s="7"/>
      <c r="I44" s="7"/>
    </row>
    <row r="45" spans="2:9" x14ac:dyDescent="0.25">
      <c r="B45" s="14" t="s">
        <v>39</v>
      </c>
      <c r="C45" s="27">
        <f>4884868/1000000</f>
        <v>4.884868</v>
      </c>
      <c r="D45" s="27">
        <v>2.0229E-2</v>
      </c>
      <c r="E45" s="27">
        <v>0</v>
      </c>
      <c r="F45" s="27">
        <v>0</v>
      </c>
      <c r="G45" s="11">
        <f>SUM(C45:F45)</f>
        <v>4.9050969999999996</v>
      </c>
      <c r="H45" s="7"/>
      <c r="I45" s="7"/>
    </row>
    <row r="46" spans="2:9" x14ac:dyDescent="0.25">
      <c r="B46" s="61"/>
      <c r="C46" s="61"/>
      <c r="D46" s="61"/>
      <c r="E46" s="61"/>
      <c r="F46" s="61"/>
      <c r="G46" s="61"/>
      <c r="H46" s="61"/>
      <c r="I46" s="7"/>
    </row>
    <row r="47" spans="2:9" x14ac:dyDescent="0.25">
      <c r="B47" s="60" t="s">
        <v>40</v>
      </c>
      <c r="C47" s="60"/>
      <c r="D47" s="60"/>
      <c r="E47" s="60"/>
      <c r="F47" s="60"/>
      <c r="G47" s="60"/>
      <c r="I47" s="7"/>
    </row>
    <row r="48" spans="2:9" x14ac:dyDescent="0.25">
      <c r="B48" s="14" t="s">
        <v>41</v>
      </c>
      <c r="C48" s="27">
        <v>147620</v>
      </c>
      <c r="D48" s="27">
        <v>72009</v>
      </c>
      <c r="E48" s="27">
        <v>12459</v>
      </c>
      <c r="F48" s="27">
        <v>63483</v>
      </c>
      <c r="G48" s="27">
        <f>SUM(C48:F48)</f>
        <v>295571</v>
      </c>
      <c r="H48" s="7"/>
      <c r="I48" s="7"/>
    </row>
    <row r="49" spans="2:9" x14ac:dyDescent="0.25">
      <c r="B49" s="14" t="s">
        <v>42</v>
      </c>
      <c r="C49" s="27">
        <f>(99956207000+  1799031381)/1000000</f>
        <v>101755.238381</v>
      </c>
      <c r="D49" s="27">
        <v>26084</v>
      </c>
      <c r="E49" s="27">
        <v>12970514</v>
      </c>
      <c r="F49" s="27">
        <v>14247.983792999999</v>
      </c>
      <c r="G49" s="11">
        <f>SUM(C49:F49)</f>
        <v>13112601.222174</v>
      </c>
      <c r="H49" s="7"/>
      <c r="I49" s="7"/>
    </row>
    <row r="50" spans="2:9" x14ac:dyDescent="0.25">
      <c r="B50" s="61"/>
      <c r="C50" s="61"/>
      <c r="D50" s="61"/>
      <c r="E50" s="61"/>
      <c r="F50" s="61"/>
      <c r="G50" s="61"/>
      <c r="H50" s="61"/>
    </row>
    <row r="51" spans="2:9" ht="21" x14ac:dyDescent="0.35">
      <c r="B51" s="70" t="s">
        <v>43</v>
      </c>
      <c r="C51" s="71"/>
      <c r="D51" s="71"/>
      <c r="E51" s="71"/>
      <c r="F51" s="71"/>
      <c r="G51" s="72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60" t="s">
        <v>44</v>
      </c>
      <c r="C53" s="60"/>
      <c r="D53" s="60"/>
      <c r="E53" s="60"/>
      <c r="F53" s="60"/>
      <c r="G53" s="60"/>
    </row>
    <row r="54" spans="2:9" x14ac:dyDescent="0.25">
      <c r="B54" s="65" t="s">
        <v>45</v>
      </c>
      <c r="C54" s="65"/>
      <c r="D54" s="65"/>
      <c r="E54" s="65"/>
      <c r="F54" s="65"/>
      <c r="G54" s="65"/>
    </row>
    <row r="55" spans="2:9" x14ac:dyDescent="0.25">
      <c r="B55" s="14" t="s">
        <v>46</v>
      </c>
      <c r="C55" s="27">
        <v>111691</v>
      </c>
      <c r="D55" s="27">
        <v>5509</v>
      </c>
      <c r="E55" s="27">
        <v>1414</v>
      </c>
      <c r="F55" s="27">
        <v>4894</v>
      </c>
      <c r="G55" s="27">
        <f t="shared" ref="G55:G71" si="0">SUM(C55:F55)</f>
        <v>123508</v>
      </c>
    </row>
    <row r="56" spans="2:9" x14ac:dyDescent="0.25">
      <c r="B56" s="14" t="s">
        <v>47</v>
      </c>
      <c r="C56" s="27">
        <v>77961.198136999999</v>
      </c>
      <c r="D56" s="27">
        <v>7212.7518889999501</v>
      </c>
      <c r="E56" s="27">
        <v>2186.2052279999998</v>
      </c>
      <c r="F56" s="27">
        <v>11774</v>
      </c>
      <c r="G56" s="27">
        <f t="shared" si="0"/>
        <v>99134.155253999954</v>
      </c>
    </row>
    <row r="57" spans="2:9" x14ac:dyDescent="0.25">
      <c r="B57" s="14" t="s">
        <v>48</v>
      </c>
      <c r="C57" s="27">
        <v>14.071339678219401</v>
      </c>
      <c r="D57" s="27">
        <v>39</v>
      </c>
      <c r="E57" s="27">
        <v>20.917256011315416</v>
      </c>
      <c r="F57" s="27">
        <v>29</v>
      </c>
      <c r="G57" s="27">
        <f>AVERAGE(C57:F57)</f>
        <v>25.747148922383705</v>
      </c>
    </row>
    <row r="58" spans="2:9" x14ac:dyDescent="0.25">
      <c r="B58" s="14" t="s">
        <v>49</v>
      </c>
      <c r="C58" s="27">
        <v>846261</v>
      </c>
      <c r="D58" s="27">
        <v>152176</v>
      </c>
      <c r="E58" s="27">
        <v>53078</v>
      </c>
      <c r="F58" s="27">
        <v>82352</v>
      </c>
      <c r="G58" s="27">
        <f t="shared" si="0"/>
        <v>1133867</v>
      </c>
    </row>
    <row r="59" spans="2:9" x14ac:dyDescent="0.25">
      <c r="B59" s="14" t="s">
        <v>50</v>
      </c>
      <c r="C59" s="27">
        <v>1850487.5127419999</v>
      </c>
      <c r="D59" s="27">
        <v>270852.68883900001</v>
      </c>
      <c r="E59" s="27">
        <v>109676.78769700001</v>
      </c>
      <c r="F59" s="27">
        <v>191341</v>
      </c>
      <c r="G59" s="11">
        <f t="shared" si="0"/>
        <v>2422357.9892779998</v>
      </c>
    </row>
    <row r="60" spans="2:9" x14ac:dyDescent="0.25">
      <c r="B60" s="65" t="s">
        <v>51</v>
      </c>
      <c r="C60" s="65"/>
      <c r="D60" s="65"/>
      <c r="E60" s="65"/>
      <c r="F60" s="65"/>
      <c r="G60" s="65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5" t="s">
        <v>52</v>
      </c>
      <c r="C66" s="65"/>
      <c r="D66" s="65"/>
      <c r="E66" s="65"/>
      <c r="F66" s="65"/>
      <c r="G66" s="65"/>
    </row>
    <row r="67" spans="2:8" x14ac:dyDescent="0.25">
      <c r="B67" s="14" t="s">
        <v>46</v>
      </c>
      <c r="C67" s="27">
        <v>6808</v>
      </c>
      <c r="D67" s="27">
        <v>2003</v>
      </c>
      <c r="E67" s="27">
        <v>1938</v>
      </c>
      <c r="F67" s="27">
        <v>11904</v>
      </c>
      <c r="G67" s="27">
        <f t="shared" si="0"/>
        <v>22653</v>
      </c>
    </row>
    <row r="68" spans="2:8" x14ac:dyDescent="0.25">
      <c r="B68" s="14" t="s">
        <v>47</v>
      </c>
      <c r="C68" s="27">
        <v>5320.3789779999997</v>
      </c>
      <c r="D68" s="27">
        <v>1957.2022999999999</v>
      </c>
      <c r="E68" s="27">
        <v>2175.7183490000002</v>
      </c>
      <c r="F68" s="27">
        <v>14637</v>
      </c>
      <c r="G68" s="27">
        <f t="shared" si="0"/>
        <v>24090.299627</v>
      </c>
    </row>
    <row r="69" spans="2:8" x14ac:dyDescent="0.25">
      <c r="B69" s="14" t="s">
        <v>48</v>
      </c>
      <c r="C69" s="27">
        <v>37.934195064629797</v>
      </c>
      <c r="D69" s="27">
        <v>55</v>
      </c>
      <c r="E69" s="27">
        <v>50.275025799793603</v>
      </c>
      <c r="F69" s="27">
        <v>38</v>
      </c>
      <c r="G69" s="27">
        <f>AVERAGE(C69:F69)</f>
        <v>45.30230521610585</v>
      </c>
    </row>
    <row r="70" spans="2:8" x14ac:dyDescent="0.25">
      <c r="B70" s="14" t="s">
        <v>49</v>
      </c>
      <c r="C70" s="27">
        <v>138052</v>
      </c>
      <c r="D70" s="27">
        <v>89205</v>
      </c>
      <c r="E70" s="27">
        <v>69059</v>
      </c>
      <c r="F70" s="27">
        <v>273251</v>
      </c>
      <c r="G70" s="27">
        <f t="shared" si="0"/>
        <v>569567</v>
      </c>
    </row>
    <row r="71" spans="2:8" x14ac:dyDescent="0.25">
      <c r="B71" s="14" t="s">
        <v>50</v>
      </c>
      <c r="C71" s="27">
        <v>144788.40342399999</v>
      </c>
      <c r="D71" s="27">
        <v>105922.83348299999</v>
      </c>
      <c r="E71" s="27">
        <v>73840.623328000001</v>
      </c>
      <c r="F71" s="27">
        <v>259370</v>
      </c>
      <c r="G71" s="11">
        <f t="shared" si="0"/>
        <v>583921.86023500003</v>
      </c>
    </row>
    <row r="72" spans="2:8" x14ac:dyDescent="0.25">
      <c r="B72" s="74" t="s">
        <v>53</v>
      </c>
      <c r="C72" s="75"/>
      <c r="D72" s="75"/>
      <c r="E72" s="75"/>
      <c r="F72" s="75"/>
      <c r="G72" s="76"/>
    </row>
    <row r="73" spans="2:8" x14ac:dyDescent="0.25">
      <c r="B73" s="18" t="s">
        <v>54</v>
      </c>
      <c r="C73" s="19">
        <f>+C55+C67</f>
        <v>118499</v>
      </c>
      <c r="D73" s="19">
        <v>7512</v>
      </c>
      <c r="E73" s="19">
        <v>3352</v>
      </c>
      <c r="F73" s="19">
        <v>16798</v>
      </c>
      <c r="G73" s="19">
        <f>SUM(C73:F73)</f>
        <v>146161</v>
      </c>
    </row>
    <row r="74" spans="2:8" x14ac:dyDescent="0.25">
      <c r="B74" s="18" t="s">
        <v>47</v>
      </c>
      <c r="C74" s="19">
        <f>+C56+C68</f>
        <v>83281.577114999993</v>
      </c>
      <c r="D74" s="19">
        <v>9169.9541889999491</v>
      </c>
      <c r="E74" s="19">
        <v>4361.9235769999996</v>
      </c>
      <c r="F74" s="19">
        <v>26411</v>
      </c>
      <c r="G74" s="22">
        <f>SUM(C74:F74)</f>
        <v>123224.45488099994</v>
      </c>
    </row>
    <row r="75" spans="2:8" x14ac:dyDescent="0.25">
      <c r="B75" s="18" t="s">
        <v>48</v>
      </c>
      <c r="C75" s="19">
        <v>15.442307530021401</v>
      </c>
      <c r="D75" s="19">
        <v>31.333333333333332</v>
      </c>
      <c r="E75" s="19">
        <v>38</v>
      </c>
      <c r="F75" s="19">
        <v>33.5</v>
      </c>
      <c r="G75" s="19">
        <f>AVERAGE(C75:F75)</f>
        <v>29.568910215838685</v>
      </c>
    </row>
    <row r="76" spans="2:8" x14ac:dyDescent="0.25">
      <c r="B76" s="18" t="s">
        <v>49</v>
      </c>
      <c r="C76" s="19">
        <f>+C58+C70</f>
        <v>984313</v>
      </c>
      <c r="D76" s="19">
        <v>241381</v>
      </c>
      <c r="E76" s="19">
        <v>122137</v>
      </c>
      <c r="F76" s="19">
        <v>355603</v>
      </c>
      <c r="G76" s="19">
        <f>SUM(C76:F76)</f>
        <v>1703434</v>
      </c>
    </row>
    <row r="77" spans="2:8" x14ac:dyDescent="0.25">
      <c r="B77" s="18" t="s">
        <v>50</v>
      </c>
      <c r="C77" s="19">
        <f>+C59+C71</f>
        <v>1995275.9161659998</v>
      </c>
      <c r="D77" s="19">
        <v>376775.522322</v>
      </c>
      <c r="E77" s="19">
        <v>183517.41102500001</v>
      </c>
      <c r="F77" s="19">
        <v>450711</v>
      </c>
      <c r="G77" s="22">
        <f>SUM(C77:F77)</f>
        <v>3006279.8495129999</v>
      </c>
    </row>
    <row r="78" spans="2:8" x14ac:dyDescent="0.25">
      <c r="B78" s="61"/>
      <c r="C78" s="61"/>
      <c r="D78" s="61"/>
      <c r="E78" s="61"/>
      <c r="F78" s="61"/>
      <c r="G78" s="61"/>
      <c r="H78" s="61"/>
    </row>
    <row r="79" spans="2:8" x14ac:dyDescent="0.25">
      <c r="B79" s="66" t="s">
        <v>55</v>
      </c>
      <c r="C79" s="67"/>
      <c r="D79" s="67"/>
      <c r="E79" s="67"/>
      <c r="F79" s="67"/>
      <c r="G79" s="68"/>
    </row>
    <row r="80" spans="2:8" x14ac:dyDescent="0.25">
      <c r="B80" s="62" t="s">
        <v>45</v>
      </c>
      <c r="C80" s="63"/>
      <c r="D80" s="63"/>
      <c r="E80" s="63"/>
      <c r="F80" s="63"/>
      <c r="G80" s="6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984</v>
      </c>
      <c r="D84" s="24">
        <v>115</v>
      </c>
      <c r="E84" s="24">
        <v>6</v>
      </c>
      <c r="F84" s="24">
        <v>92</v>
      </c>
      <c r="G84" s="24">
        <f>SUM(C84:F84)</f>
        <v>1197</v>
      </c>
    </row>
    <row r="85" spans="2:7" x14ac:dyDescent="0.25">
      <c r="B85" s="14" t="s">
        <v>50</v>
      </c>
      <c r="C85" s="24">
        <v>21229.469972999999</v>
      </c>
      <c r="D85" s="24">
        <v>1433</v>
      </c>
      <c r="E85" s="24">
        <v>76</v>
      </c>
      <c r="F85" s="24">
        <v>1700.371339</v>
      </c>
      <c r="G85" s="11">
        <f>SUM(C85:F85)</f>
        <v>24438.841312</v>
      </c>
    </row>
    <row r="86" spans="2:7" x14ac:dyDescent="0.25">
      <c r="B86" s="62" t="s">
        <v>51</v>
      </c>
      <c r="C86" s="63"/>
      <c r="D86" s="63"/>
      <c r="E86" s="63"/>
      <c r="F86" s="63"/>
      <c r="G86" s="6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2" t="s">
        <v>52</v>
      </c>
      <c r="C92" s="63"/>
      <c r="D92" s="63"/>
      <c r="E92" s="63"/>
      <c r="F92" s="63"/>
      <c r="G92" s="6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172.56533099999999</v>
      </c>
      <c r="D97" s="27">
        <v>0</v>
      </c>
      <c r="E97" s="27">
        <v>0</v>
      </c>
      <c r="F97" s="27">
        <v>78.494422999999998</v>
      </c>
      <c r="G97" s="11">
        <f>SUM(C97:F97)</f>
        <v>251.059754</v>
      </c>
    </row>
    <row r="98" spans="2:8" x14ac:dyDescent="0.25">
      <c r="B98" s="74" t="s">
        <v>56</v>
      </c>
      <c r="C98" s="75"/>
      <c r="D98" s="75"/>
      <c r="E98" s="75"/>
      <c r="F98" s="75"/>
      <c r="G98" s="76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994</v>
      </c>
      <c r="D102" s="19">
        <f t="shared" ref="D102:D103" si="1">+D96+D90+D84</f>
        <v>115</v>
      </c>
      <c r="E102" s="19">
        <f>+E84</f>
        <v>6</v>
      </c>
      <c r="F102" s="19">
        <f>+F96+F84</f>
        <v>98</v>
      </c>
      <c r="G102" s="19">
        <f>SUM(C102:F102)</f>
        <v>1213</v>
      </c>
    </row>
    <row r="103" spans="2:8" x14ac:dyDescent="0.25">
      <c r="B103" s="18" t="s">
        <v>50</v>
      </c>
      <c r="C103" s="19">
        <f>+C97+C85</f>
        <v>21402.035304000001</v>
      </c>
      <c r="D103" s="19">
        <f t="shared" si="1"/>
        <v>1433</v>
      </c>
      <c r="E103" s="19">
        <f>+E85</f>
        <v>76</v>
      </c>
      <c r="F103" s="19">
        <f>+F85+F97</f>
        <v>1778.8657620000001</v>
      </c>
      <c r="G103" s="22">
        <f>SUM(C103:F103)</f>
        <v>24689.901066000002</v>
      </c>
    </row>
    <row r="104" spans="2:8" x14ac:dyDescent="0.25">
      <c r="B104" s="61"/>
      <c r="C104" s="61"/>
      <c r="D104" s="61"/>
      <c r="E104" s="61"/>
      <c r="F104" s="61"/>
      <c r="G104" s="61"/>
      <c r="H104" s="61"/>
    </row>
    <row r="105" spans="2:8" x14ac:dyDescent="0.25">
      <c r="B105" s="60" t="s">
        <v>57</v>
      </c>
      <c r="C105" s="60"/>
      <c r="D105" s="60"/>
      <c r="E105" s="60"/>
      <c r="F105" s="60"/>
      <c r="G105" s="60"/>
    </row>
    <row r="106" spans="2:8" x14ac:dyDescent="0.25">
      <c r="B106" s="65" t="s">
        <v>58</v>
      </c>
      <c r="C106" s="65"/>
      <c r="D106" s="65"/>
      <c r="E106" s="65"/>
      <c r="F106" s="65"/>
      <c r="G106" s="65"/>
    </row>
    <row r="107" spans="2:8" x14ac:dyDescent="0.25">
      <c r="B107" s="14" t="s">
        <v>59</v>
      </c>
      <c r="C107" s="13">
        <v>2.8267738121233101</v>
      </c>
      <c r="D107" s="13">
        <v>2.5499999999999998</v>
      </c>
      <c r="E107" s="30">
        <v>2.717566371681416</v>
      </c>
      <c r="F107" s="13">
        <v>2.54</v>
      </c>
      <c r="G107" s="13">
        <f>AVERAGE(C107:F107)</f>
        <v>2.6585850459511811</v>
      </c>
    </row>
    <row r="108" spans="2:8" x14ac:dyDescent="0.25">
      <c r="B108" s="14" t="s">
        <v>60</v>
      </c>
      <c r="C108" s="13">
        <v>2.3182630550125154</v>
      </c>
      <c r="D108" s="13">
        <v>2.62</v>
      </c>
      <c r="E108" s="30">
        <v>2.5472842639593911</v>
      </c>
      <c r="F108" s="13">
        <v>2.62</v>
      </c>
      <c r="G108" s="13">
        <f>AVERAGE(C108:F108)</f>
        <v>2.526386829742977</v>
      </c>
    </row>
    <row r="109" spans="2:8" x14ac:dyDescent="0.25">
      <c r="B109" s="14" t="s">
        <v>61</v>
      </c>
      <c r="C109" s="13">
        <v>2.0133636475175658</v>
      </c>
      <c r="D109" s="13">
        <v>2.62</v>
      </c>
      <c r="E109" s="30">
        <v>2.3130000000000002</v>
      </c>
      <c r="F109" s="13">
        <v>2.62</v>
      </c>
      <c r="G109" s="13">
        <f>AVERAGE(C109:F109)</f>
        <v>2.3915909118793914</v>
      </c>
    </row>
    <row r="110" spans="2:8" x14ac:dyDescent="0.25">
      <c r="B110" s="65" t="s">
        <v>62</v>
      </c>
      <c r="C110" s="65"/>
      <c r="D110" s="65"/>
      <c r="E110" s="65"/>
      <c r="F110" s="65"/>
      <c r="G110" s="65"/>
    </row>
    <row r="111" spans="2:8" x14ac:dyDescent="0.25">
      <c r="B111" s="14" t="s">
        <v>59</v>
      </c>
      <c r="C111" s="13">
        <v>1.7999999999999992</v>
      </c>
      <c r="D111" s="13">
        <v>1.95</v>
      </c>
      <c r="E111" s="30">
        <v>1.214</v>
      </c>
      <c r="F111" s="13">
        <v>1.7999999999999992</v>
      </c>
      <c r="G111" s="13">
        <f>AVERAGE(C111:F111)</f>
        <v>1.6909999999999994</v>
      </c>
    </row>
    <row r="112" spans="2:8" x14ac:dyDescent="0.25">
      <c r="B112" s="14" t="s">
        <v>60</v>
      </c>
      <c r="C112" s="13">
        <v>2.092105263157892</v>
      </c>
      <c r="D112" s="13">
        <v>2.16</v>
      </c>
      <c r="E112" s="30">
        <v>1.9577777777777776</v>
      </c>
      <c r="F112" s="13">
        <v>2.16</v>
      </c>
      <c r="G112" s="13">
        <f>AVERAGE(C112:F112)</f>
        <v>2.0924707602339172</v>
      </c>
    </row>
    <row r="113" spans="2:9" x14ac:dyDescent="0.25">
      <c r="B113" s="14" t="s">
        <v>61</v>
      </c>
      <c r="C113" s="13">
        <v>2.0850342935528037</v>
      </c>
      <c r="D113" s="13">
        <v>2.16</v>
      </c>
      <c r="E113" s="30">
        <v>1.5766666666666667</v>
      </c>
      <c r="F113" s="13">
        <v>2.14</v>
      </c>
      <c r="G113" s="13">
        <f>AVERAGE(C113:F113)</f>
        <v>1.9904252400548677</v>
      </c>
    </row>
    <row r="114" spans="2:9" x14ac:dyDescent="0.25">
      <c r="B114" s="61"/>
      <c r="C114" s="61"/>
      <c r="D114" s="61"/>
      <c r="E114" s="61"/>
      <c r="F114" s="61"/>
      <c r="G114" s="61"/>
      <c r="H114" s="61"/>
      <c r="I114" s="61"/>
    </row>
    <row r="115" spans="2:9" x14ac:dyDescent="0.25">
      <c r="B115" s="65" t="s">
        <v>63</v>
      </c>
      <c r="C115" s="65"/>
      <c r="D115" s="65"/>
      <c r="E115" s="65"/>
      <c r="F115" s="65"/>
      <c r="G115" s="65"/>
    </row>
    <row r="116" spans="2:9" x14ac:dyDescent="0.25">
      <c r="B116" s="14" t="s">
        <v>59</v>
      </c>
      <c r="C116" s="13">
        <v>1.506674500587551</v>
      </c>
      <c r="D116" s="13">
        <v>1.79</v>
      </c>
      <c r="E116" s="31">
        <v>2.031219512195122</v>
      </c>
      <c r="F116" s="13">
        <v>1.78</v>
      </c>
      <c r="G116" s="13">
        <f>AVERAGE(C116:F116)</f>
        <v>1.7769735031956684</v>
      </c>
    </row>
    <row r="117" spans="2:9" x14ac:dyDescent="0.25">
      <c r="B117" s="14" t="s">
        <v>60</v>
      </c>
      <c r="C117" s="13">
        <v>1.7571978021978703</v>
      </c>
      <c r="D117" s="13">
        <v>1.79</v>
      </c>
      <c r="E117" s="31">
        <v>2.0076422764227639</v>
      </c>
      <c r="F117" s="13">
        <v>1.78</v>
      </c>
      <c r="G117" s="13">
        <f>AVERAGE(C117:F117)</f>
        <v>1.8337100196551586</v>
      </c>
    </row>
    <row r="118" spans="2:9" x14ac:dyDescent="0.25">
      <c r="B118" s="14" t="s">
        <v>61</v>
      </c>
      <c r="C118" s="13">
        <v>1.98455775391316</v>
      </c>
      <c r="D118" s="13">
        <v>1.74</v>
      </c>
      <c r="E118" s="31">
        <v>2.0082874015748033</v>
      </c>
      <c r="F118" s="13">
        <v>1.99</v>
      </c>
      <c r="G118" s="13">
        <f>AVERAGE(C118:F118)</f>
        <v>1.9307112888719908</v>
      </c>
    </row>
    <row r="119" spans="2:9" x14ac:dyDescent="0.25">
      <c r="B119" s="62" t="s">
        <v>64</v>
      </c>
      <c r="C119" s="63"/>
      <c r="D119" s="63"/>
      <c r="E119" s="63"/>
      <c r="F119" s="63"/>
      <c r="G119" s="64"/>
    </row>
    <row r="120" spans="2:9" x14ac:dyDescent="0.25">
      <c r="B120" s="14" t="s">
        <v>59</v>
      </c>
      <c r="C120" s="13">
        <v>0</v>
      </c>
      <c r="D120" s="13">
        <v>1.43</v>
      </c>
      <c r="E120" s="59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59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59">
        <v>1.43</v>
      </c>
      <c r="F122" s="13">
        <v>1.43</v>
      </c>
      <c r="G122" s="13">
        <f>AVERAGE(C122:F122)</f>
        <v>1.43</v>
      </c>
    </row>
    <row r="123" spans="2:9" x14ac:dyDescent="0.25">
      <c r="B123" s="61"/>
      <c r="C123" s="61"/>
      <c r="D123" s="61"/>
      <c r="E123" s="61"/>
      <c r="F123" s="61"/>
      <c r="G123" s="61"/>
      <c r="H123" s="61"/>
    </row>
    <row r="124" spans="2:9" x14ac:dyDescent="0.25">
      <c r="B124" s="66" t="s">
        <v>65</v>
      </c>
      <c r="C124" s="67"/>
      <c r="D124" s="67"/>
      <c r="E124" s="67"/>
      <c r="F124" s="67"/>
      <c r="G124" s="68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6" t="s">
        <v>67</v>
      </c>
      <c r="C126" s="67"/>
      <c r="D126" s="67"/>
      <c r="E126" s="67"/>
      <c r="F126" s="67"/>
      <c r="G126" s="68"/>
    </row>
    <row r="127" spans="2:9" x14ac:dyDescent="0.25">
      <c r="B127" s="3" t="s">
        <v>68</v>
      </c>
      <c r="C127" s="11">
        <v>1.97</v>
      </c>
      <c r="D127" s="11">
        <v>2.0960399999999999</v>
      </c>
      <c r="E127" s="11">
        <v>2.3072648042363935</v>
      </c>
      <c r="F127" s="11">
        <v>0</v>
      </c>
      <c r="G127" s="11">
        <f>AVERAGE(C127:E127)</f>
        <v>2.1244349347454645</v>
      </c>
    </row>
    <row r="128" spans="2:9" x14ac:dyDescent="0.25">
      <c r="B128" s="73"/>
      <c r="C128" s="73"/>
      <c r="D128" s="73"/>
      <c r="E128" s="73"/>
      <c r="F128" s="73"/>
      <c r="G128" s="73"/>
      <c r="H128" s="73"/>
    </row>
    <row r="129" spans="2:9" x14ac:dyDescent="0.25">
      <c r="B129" s="60" t="s">
        <v>69</v>
      </c>
      <c r="C129" s="60"/>
      <c r="D129" s="60"/>
      <c r="E129" s="60"/>
      <c r="F129" s="60"/>
      <c r="G129" s="60"/>
    </row>
    <row r="130" spans="2:9" x14ac:dyDescent="0.25">
      <c r="B130" s="14" t="s">
        <v>70</v>
      </c>
      <c r="C130" s="27">
        <v>238311</v>
      </c>
      <c r="D130" s="27">
        <v>3447</v>
      </c>
      <c r="E130" s="27">
        <v>8110</v>
      </c>
      <c r="F130" s="27">
        <v>769</v>
      </c>
      <c r="G130" s="27">
        <f>SUM(C130:F130)</f>
        <v>250637</v>
      </c>
    </row>
    <row r="131" spans="2:9" x14ac:dyDescent="0.25">
      <c r="B131" s="14" t="s">
        <v>71</v>
      </c>
      <c r="C131" s="27">
        <v>158356.08983000001</v>
      </c>
      <c r="D131" s="27">
        <v>3827</v>
      </c>
      <c r="E131" s="27">
        <v>991251</v>
      </c>
      <c r="F131" s="27">
        <v>722.67602599999998</v>
      </c>
      <c r="G131" s="11">
        <f>SUM(C131:F131)</f>
        <v>1154156.7658559999</v>
      </c>
    </row>
    <row r="132" spans="2:9" x14ac:dyDescent="0.25">
      <c r="B132" s="61"/>
      <c r="C132" s="61"/>
      <c r="D132" s="61"/>
      <c r="E132" s="61"/>
      <c r="F132" s="61"/>
      <c r="G132" s="61"/>
      <c r="H132" s="61"/>
    </row>
    <row r="133" spans="2:9" x14ac:dyDescent="0.25">
      <c r="B133" s="60" t="s">
        <v>72</v>
      </c>
      <c r="C133" s="60"/>
      <c r="D133" s="60"/>
      <c r="E133" s="60"/>
      <c r="F133" s="60"/>
      <c r="G133" s="60"/>
    </row>
    <row r="134" spans="2:9" x14ac:dyDescent="0.25">
      <c r="B134" s="14" t="s">
        <v>73</v>
      </c>
      <c r="C134" s="27">
        <v>832358</v>
      </c>
      <c r="D134" s="27">
        <v>393079</v>
      </c>
      <c r="E134" s="27">
        <v>143409</v>
      </c>
      <c r="F134" s="27">
        <v>290470</v>
      </c>
      <c r="G134" s="27">
        <f>SUM(C134:F134)</f>
        <v>1659316</v>
      </c>
    </row>
    <row r="135" spans="2:9" x14ac:dyDescent="0.25">
      <c r="B135" s="61"/>
      <c r="C135" s="61"/>
      <c r="D135" s="61"/>
      <c r="E135" s="61"/>
      <c r="F135" s="61"/>
      <c r="G135" s="61"/>
      <c r="H135" s="61"/>
    </row>
    <row r="136" spans="2:9" ht="21" x14ac:dyDescent="0.35">
      <c r="B136" s="69" t="s">
        <v>74</v>
      </c>
      <c r="C136" s="69"/>
      <c r="D136" s="69"/>
      <c r="E136" s="69"/>
      <c r="F136" s="69"/>
      <c r="G136" s="69"/>
    </row>
    <row r="137" spans="2:9" x14ac:dyDescent="0.25">
      <c r="B137" s="60" t="s">
        <v>75</v>
      </c>
      <c r="C137" s="60"/>
      <c r="D137" s="60"/>
      <c r="E137" s="60"/>
      <c r="F137" s="60"/>
      <c r="G137" s="60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15247</v>
      </c>
      <c r="G138" s="27">
        <f>SUM(C138:F138)</f>
        <v>15247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309</v>
      </c>
      <c r="G139" s="27">
        <f>SUM(C139:F139)</f>
        <v>309</v>
      </c>
      <c r="H139" s="7"/>
      <c r="I139" s="7"/>
    </row>
    <row r="140" spans="2:9" x14ac:dyDescent="0.25">
      <c r="B140" s="61"/>
      <c r="C140" s="61"/>
      <c r="D140" s="61"/>
      <c r="E140" s="61"/>
      <c r="F140" s="61"/>
      <c r="G140" s="61"/>
      <c r="H140" s="61"/>
      <c r="I140" s="7"/>
    </row>
    <row r="141" spans="2:9" x14ac:dyDescent="0.25">
      <c r="B141" s="61"/>
      <c r="C141" s="61"/>
      <c r="D141" s="61"/>
      <c r="E141" s="61"/>
      <c r="F141" s="61"/>
      <c r="G141" s="61"/>
      <c r="H141" s="61"/>
    </row>
    <row r="142" spans="2:9" ht="21" x14ac:dyDescent="0.35">
      <c r="B142" s="70" t="s">
        <v>78</v>
      </c>
      <c r="C142" s="71"/>
      <c r="D142" s="71"/>
      <c r="E142" s="71"/>
      <c r="F142" s="71"/>
      <c r="G142" s="72"/>
    </row>
    <row r="143" spans="2:9" x14ac:dyDescent="0.25">
      <c r="B143" s="66" t="s">
        <v>79</v>
      </c>
      <c r="C143" s="67"/>
      <c r="D143" s="67"/>
      <c r="E143" s="67"/>
      <c r="F143" s="67"/>
      <c r="G143" s="68"/>
    </row>
    <row r="144" spans="2:9" x14ac:dyDescent="0.25">
      <c r="B144" s="61"/>
      <c r="C144" s="61"/>
      <c r="D144" s="61"/>
      <c r="E144" s="61"/>
      <c r="F144" s="61"/>
      <c r="G144" s="61"/>
      <c r="H144" s="61"/>
    </row>
    <row r="145" spans="2:8" x14ac:dyDescent="0.25">
      <c r="B145" s="65" t="s">
        <v>80</v>
      </c>
      <c r="C145" s="65"/>
      <c r="D145" s="65"/>
      <c r="E145" s="65"/>
      <c r="F145" s="65"/>
      <c r="G145" s="65"/>
    </row>
    <row r="146" spans="2:8" x14ac:dyDescent="0.25">
      <c r="B146" s="14" t="s">
        <v>81</v>
      </c>
      <c r="C146" s="27">
        <v>0</v>
      </c>
      <c r="D146" s="27">
        <v>1325</v>
      </c>
      <c r="E146" s="27">
        <v>0</v>
      </c>
      <c r="F146" s="1">
        <v>863</v>
      </c>
      <c r="G146" s="27">
        <f>SUM(C146:F146)</f>
        <v>2188</v>
      </c>
    </row>
    <row r="147" spans="2:8" x14ac:dyDescent="0.25">
      <c r="B147" s="14" t="s">
        <v>82</v>
      </c>
      <c r="C147" s="27">
        <v>0</v>
      </c>
      <c r="D147" s="27">
        <v>29.062000000000001</v>
      </c>
      <c r="E147" s="27">
        <v>0</v>
      </c>
      <c r="F147" s="29">
        <v>9.5444999999999993</v>
      </c>
      <c r="G147" s="11">
        <f>SUM(C147:F147)</f>
        <v>38.606499999999997</v>
      </c>
    </row>
    <row r="148" spans="2:8" x14ac:dyDescent="0.25">
      <c r="B148" s="61"/>
      <c r="C148" s="61"/>
      <c r="D148" s="61"/>
      <c r="E148" s="61"/>
      <c r="F148" s="61"/>
      <c r="G148" s="61"/>
      <c r="H148" s="61"/>
    </row>
    <row r="149" spans="2:8" x14ac:dyDescent="0.25">
      <c r="B149" s="65" t="s">
        <v>83</v>
      </c>
      <c r="C149" s="65"/>
      <c r="D149" s="65"/>
      <c r="E149" s="65"/>
      <c r="F149" s="65"/>
      <c r="G149" s="65"/>
    </row>
    <row r="150" spans="2:8" x14ac:dyDescent="0.25">
      <c r="B150" s="14" t="s">
        <v>84</v>
      </c>
      <c r="C150" s="27">
        <v>0</v>
      </c>
      <c r="D150" s="36">
        <v>12982</v>
      </c>
      <c r="E150" s="27">
        <v>0</v>
      </c>
      <c r="F150" s="27">
        <v>0</v>
      </c>
      <c r="G150" s="27">
        <f>SUM(C150:F150)</f>
        <v>12982</v>
      </c>
      <c r="H150"/>
    </row>
    <row r="151" spans="2:8" x14ac:dyDescent="0.25">
      <c r="B151" s="14" t="s">
        <v>85</v>
      </c>
      <c r="C151" s="27">
        <v>0</v>
      </c>
      <c r="D151" s="36">
        <v>517.63</v>
      </c>
      <c r="E151" s="27">
        <v>0</v>
      </c>
      <c r="F151" s="27">
        <v>0</v>
      </c>
      <c r="G151" s="11">
        <f>SUM(C151:F151)</f>
        <v>517.63</v>
      </c>
      <c r="H151"/>
    </row>
    <row r="152" spans="2:8" x14ac:dyDescent="0.25">
      <c r="B152" s="61"/>
      <c r="C152" s="61"/>
      <c r="D152" s="61"/>
      <c r="E152" s="61"/>
      <c r="F152" s="61"/>
      <c r="G152" s="61"/>
      <c r="H152" s="61"/>
    </row>
    <row r="153" spans="2:8" x14ac:dyDescent="0.25">
      <c r="B153" s="65" t="s">
        <v>86</v>
      </c>
      <c r="C153" s="65"/>
      <c r="D153" s="65"/>
      <c r="E153" s="65"/>
      <c r="F153" s="65"/>
      <c r="G153" s="65"/>
    </row>
    <row r="154" spans="2:8" x14ac:dyDescent="0.25">
      <c r="B154" s="14" t="s">
        <v>87</v>
      </c>
      <c r="C154" s="27">
        <v>0</v>
      </c>
      <c r="D154" s="27">
        <v>272</v>
      </c>
      <c r="E154" s="27">
        <v>21</v>
      </c>
      <c r="F154" s="27">
        <v>0</v>
      </c>
      <c r="G154" s="27">
        <f>SUM(C154:F154)</f>
        <v>293</v>
      </c>
      <c r="H154"/>
    </row>
    <row r="155" spans="2:8" x14ac:dyDescent="0.25">
      <c r="B155" s="14" t="s">
        <v>88</v>
      </c>
      <c r="C155" s="27">
        <v>0</v>
      </c>
      <c r="D155" s="27">
        <v>3.5</v>
      </c>
      <c r="E155" s="27">
        <v>1</v>
      </c>
      <c r="F155" s="27">
        <v>0</v>
      </c>
      <c r="G155" s="11">
        <f>SUM(C155:F155)</f>
        <v>4.5</v>
      </c>
      <c r="H155"/>
    </row>
    <row r="156" spans="2:8" x14ac:dyDescent="0.25">
      <c r="B156" s="61"/>
      <c r="C156" s="61"/>
      <c r="D156" s="61"/>
      <c r="E156" s="61"/>
      <c r="F156" s="61"/>
      <c r="G156" s="61"/>
      <c r="H156" s="61"/>
    </row>
    <row r="157" spans="2:8" x14ac:dyDescent="0.25">
      <c r="B157" s="62" t="s">
        <v>89</v>
      </c>
      <c r="C157" s="63"/>
      <c r="D157" s="63"/>
      <c r="E157" s="63"/>
      <c r="F157" s="63"/>
      <c r="G157" s="64"/>
    </row>
    <row r="158" spans="2:8" x14ac:dyDescent="0.25">
      <c r="B158" s="18" t="s">
        <v>90</v>
      </c>
      <c r="C158" s="19">
        <v>0</v>
      </c>
      <c r="D158" s="19">
        <v>14579</v>
      </c>
      <c r="E158" s="19">
        <v>21</v>
      </c>
      <c r="F158" s="19">
        <f>F146+F154</f>
        <v>863</v>
      </c>
      <c r="G158" s="19">
        <f>SUM(C158:F158)</f>
        <v>15463</v>
      </c>
    </row>
    <row r="159" spans="2:8" x14ac:dyDescent="0.25">
      <c r="B159" s="18" t="s">
        <v>91</v>
      </c>
      <c r="C159" s="19">
        <v>0</v>
      </c>
      <c r="D159" s="19">
        <v>550.19200000000001</v>
      </c>
      <c r="E159" s="19">
        <v>1</v>
      </c>
      <c r="F159" s="19">
        <f>F147+F155</f>
        <v>9.5444999999999993</v>
      </c>
      <c r="G159" s="22">
        <f>SUM(C159:F159)</f>
        <v>560.73649999999998</v>
      </c>
    </row>
    <row r="160" spans="2:8" x14ac:dyDescent="0.25">
      <c r="B160" s="61"/>
      <c r="C160" s="61"/>
      <c r="D160" s="61"/>
      <c r="E160" s="61"/>
      <c r="F160" s="61"/>
      <c r="G160" s="61"/>
      <c r="H160" s="61"/>
    </row>
    <row r="161" spans="2:8" x14ac:dyDescent="0.25">
      <c r="B161" s="60" t="s">
        <v>92</v>
      </c>
      <c r="C161" s="60"/>
      <c r="D161" s="60"/>
      <c r="E161" s="60"/>
      <c r="F161" s="60"/>
      <c r="G161" s="60"/>
    </row>
    <row r="162" spans="2:8" x14ac:dyDescent="0.25">
      <c r="B162" s="14" t="s">
        <v>87</v>
      </c>
      <c r="C162" s="27">
        <v>3268</v>
      </c>
      <c r="D162" s="27">
        <v>54174</v>
      </c>
      <c r="E162" s="27">
        <v>6762</v>
      </c>
      <c r="F162" s="27">
        <v>32177</v>
      </c>
      <c r="G162" s="27">
        <f>SUM(C162:F162)</f>
        <v>96381</v>
      </c>
    </row>
    <row r="163" spans="2:8" x14ac:dyDescent="0.25">
      <c r="B163" s="14" t="s">
        <v>88</v>
      </c>
      <c r="C163" s="27">
        <f>76879778/1000000</f>
        <v>76.879778000000002</v>
      </c>
      <c r="D163" s="27">
        <v>234.33272200000002</v>
      </c>
      <c r="E163" s="27">
        <v>110.2</v>
      </c>
      <c r="F163" s="27">
        <v>206.08831900000001</v>
      </c>
      <c r="G163" s="11">
        <f>SUM(C163:F163)</f>
        <v>627.50081900000009</v>
      </c>
    </row>
    <row r="164" spans="2:8" x14ac:dyDescent="0.25">
      <c r="B164" s="61"/>
      <c r="C164" s="61"/>
      <c r="D164" s="61"/>
      <c r="E164" s="61"/>
      <c r="F164" s="61"/>
      <c r="G164" s="61"/>
    </row>
    <row r="165" spans="2:8" x14ac:dyDescent="0.25">
      <c r="B165" s="66" t="s">
        <v>93</v>
      </c>
      <c r="C165" s="67"/>
      <c r="D165" s="67"/>
      <c r="E165" s="67"/>
      <c r="F165" s="67"/>
      <c r="G165" s="68"/>
    </row>
    <row r="166" spans="2:8" x14ac:dyDescent="0.25">
      <c r="B166" s="62" t="s">
        <v>94</v>
      </c>
      <c r="C166" s="63"/>
      <c r="D166" s="63"/>
      <c r="E166" s="63"/>
      <c r="F166" s="63"/>
      <c r="G166" s="64"/>
    </row>
    <row r="167" spans="2:8" x14ac:dyDescent="0.25">
      <c r="B167" s="14" t="s">
        <v>95</v>
      </c>
      <c r="C167" s="27">
        <v>896</v>
      </c>
      <c r="D167" s="27">
        <v>3504</v>
      </c>
      <c r="E167" s="27">
        <v>88</v>
      </c>
      <c r="F167" s="27">
        <v>569</v>
      </c>
      <c r="G167" s="27">
        <f>SUM(C167:F167)</f>
        <v>5057</v>
      </c>
    </row>
    <row r="168" spans="2:8" x14ac:dyDescent="0.25">
      <c r="B168" s="14" t="s">
        <v>96</v>
      </c>
      <c r="C168" s="27">
        <f>31360000/1000000</f>
        <v>31.36</v>
      </c>
      <c r="D168" s="27">
        <v>79.051487999999992</v>
      </c>
      <c r="E168" s="27">
        <v>3.4</v>
      </c>
      <c r="F168" s="27">
        <v>20.14</v>
      </c>
      <c r="G168" s="11">
        <f>SUM(C168:F168)</f>
        <v>133.95148799999998</v>
      </c>
    </row>
    <row r="169" spans="2:8" x14ac:dyDescent="0.25">
      <c r="B169" s="61"/>
      <c r="C169" s="61"/>
      <c r="D169" s="61"/>
      <c r="E169" s="61"/>
      <c r="F169" s="61"/>
      <c r="G169" s="61"/>
    </row>
    <row r="170" spans="2:8" x14ac:dyDescent="0.25">
      <c r="B170" s="62" t="s">
        <v>97</v>
      </c>
      <c r="C170" s="63"/>
      <c r="D170" s="63"/>
      <c r="E170" s="63"/>
      <c r="F170" s="63"/>
      <c r="G170" s="64"/>
    </row>
    <row r="171" spans="2:8" x14ac:dyDescent="0.25">
      <c r="B171" s="14" t="s">
        <v>98</v>
      </c>
      <c r="C171" s="27">
        <v>2191</v>
      </c>
      <c r="D171" s="27">
        <v>461</v>
      </c>
      <c r="E171" s="27">
        <v>116</v>
      </c>
      <c r="F171" s="27">
        <v>420</v>
      </c>
      <c r="G171" s="27">
        <f>SUM(C171:F171)</f>
        <v>3188</v>
      </c>
    </row>
    <row r="172" spans="2:8" x14ac:dyDescent="0.25">
      <c r="B172" s="14" t="s">
        <v>96</v>
      </c>
      <c r="C172" s="27">
        <f>76685000/1000000</f>
        <v>76.685000000000002</v>
      </c>
      <c r="D172" s="27">
        <v>9.6809999999999992</v>
      </c>
      <c r="E172" s="27">
        <v>2.9</v>
      </c>
      <c r="F172" s="27">
        <v>9.23</v>
      </c>
      <c r="G172" s="11">
        <f>SUM(C172:F172)</f>
        <v>98.496000000000009</v>
      </c>
    </row>
    <row r="173" spans="2:8" x14ac:dyDescent="0.25">
      <c r="B173" s="61"/>
      <c r="C173" s="61"/>
      <c r="D173" s="61"/>
      <c r="E173" s="61"/>
      <c r="F173" s="61"/>
      <c r="G173" s="61"/>
      <c r="H173" s="61"/>
    </row>
    <row r="174" spans="2:8" x14ac:dyDescent="0.25">
      <c r="B174" s="62" t="s">
        <v>99</v>
      </c>
      <c r="C174" s="63"/>
      <c r="D174" s="63"/>
      <c r="E174" s="63"/>
      <c r="F174" s="63"/>
      <c r="G174" s="64"/>
    </row>
    <row r="175" spans="2:8" x14ac:dyDescent="0.25">
      <c r="B175" s="14" t="s">
        <v>98</v>
      </c>
      <c r="C175" s="27">
        <v>276</v>
      </c>
      <c r="D175" s="27">
        <v>443</v>
      </c>
      <c r="E175" s="27">
        <v>245</v>
      </c>
      <c r="F175" s="27">
        <v>41</v>
      </c>
      <c r="G175" s="27">
        <f>SUM(C175:F175)</f>
        <v>1005</v>
      </c>
    </row>
    <row r="176" spans="2:8" x14ac:dyDescent="0.25">
      <c r="B176" s="14" t="s">
        <v>96</v>
      </c>
      <c r="C176" s="27">
        <f>29000000/1000000</f>
        <v>29</v>
      </c>
      <c r="D176" s="27">
        <v>46.77</v>
      </c>
      <c r="E176" s="27">
        <v>13.8</v>
      </c>
      <c r="F176" s="27">
        <v>4.03</v>
      </c>
      <c r="G176" s="11">
        <f>SUM(C176:F176)</f>
        <v>93.600000000000009</v>
      </c>
    </row>
    <row r="177" spans="2:8" x14ac:dyDescent="0.25">
      <c r="B177" s="61"/>
      <c r="C177" s="61"/>
      <c r="D177" s="61"/>
      <c r="E177" s="61"/>
      <c r="F177" s="61"/>
      <c r="G177" s="61"/>
      <c r="H177" s="61"/>
    </row>
    <row r="178" spans="2:8" x14ac:dyDescent="0.25">
      <c r="B178" s="62" t="s">
        <v>100</v>
      </c>
      <c r="C178" s="63"/>
      <c r="D178" s="63"/>
      <c r="E178" s="63"/>
      <c r="F178" s="63"/>
      <c r="G178" s="64"/>
    </row>
    <row r="179" spans="2:8" x14ac:dyDescent="0.25">
      <c r="B179" s="14" t="s">
        <v>98</v>
      </c>
      <c r="C179" s="27">
        <v>301</v>
      </c>
      <c r="D179" s="27">
        <v>248132</v>
      </c>
      <c r="E179" s="27">
        <v>0</v>
      </c>
      <c r="F179" s="27">
        <v>0</v>
      </c>
      <c r="G179" s="27">
        <f>SUM(C179:F179)</f>
        <v>248433</v>
      </c>
    </row>
    <row r="180" spans="2:8" x14ac:dyDescent="0.25">
      <c r="B180" s="14" t="s">
        <v>96</v>
      </c>
      <c r="C180" s="27">
        <f>12275000/1000000</f>
        <v>12.275</v>
      </c>
      <c r="D180" s="27">
        <v>4287.4262658710104</v>
      </c>
      <c r="E180" s="27">
        <v>0</v>
      </c>
      <c r="F180" s="27">
        <v>0</v>
      </c>
      <c r="G180" s="11">
        <f>SUM(C180:F180)</f>
        <v>4299.70126587101</v>
      </c>
    </row>
    <row r="181" spans="2:8" x14ac:dyDescent="0.25">
      <c r="B181" s="61"/>
      <c r="C181" s="61"/>
      <c r="D181" s="61"/>
      <c r="E181" s="61"/>
      <c r="F181" s="61"/>
      <c r="G181" s="61"/>
      <c r="H181" s="61"/>
    </row>
    <row r="182" spans="2:8" x14ac:dyDescent="0.25">
      <c r="B182" s="60" t="s">
        <v>101</v>
      </c>
      <c r="C182" s="60"/>
      <c r="D182" s="60"/>
      <c r="E182" s="60"/>
      <c r="F182" s="60"/>
      <c r="G182" s="60"/>
    </row>
    <row r="183" spans="2:8" x14ac:dyDescent="0.25">
      <c r="B183" s="18" t="s">
        <v>102</v>
      </c>
      <c r="C183" s="19">
        <f>+C179+C175+C171+C167</f>
        <v>3664</v>
      </c>
      <c r="D183" s="19">
        <v>252540</v>
      </c>
      <c r="E183" s="19">
        <f>E167+E171+E175+E179</f>
        <v>449</v>
      </c>
      <c r="F183" s="19">
        <f>+F179+F175+F171+F167</f>
        <v>1030</v>
      </c>
      <c r="G183" s="19">
        <f>SUM(C183:F183)</f>
        <v>257683</v>
      </c>
    </row>
    <row r="184" spans="2:8" x14ac:dyDescent="0.25">
      <c r="B184" s="18" t="s">
        <v>103</v>
      </c>
      <c r="C184" s="19">
        <f>+C180+C176+C172+C168</f>
        <v>149.32</v>
      </c>
      <c r="D184" s="19">
        <v>4422.9287538710105</v>
      </c>
      <c r="E184" s="19">
        <f>E168+E172+E176+E180</f>
        <v>20.100000000000001</v>
      </c>
      <c r="F184" s="19">
        <f>+F180+F176+F172+F168</f>
        <v>33.400000000000006</v>
      </c>
      <c r="G184" s="22">
        <f>SUM(C184:F184)</f>
        <v>4625.7487538710102</v>
      </c>
    </row>
    <row r="185" spans="2:8" x14ac:dyDescent="0.25">
      <c r="B185" s="61"/>
      <c r="C185" s="61"/>
      <c r="D185" s="61"/>
      <c r="E185" s="61"/>
      <c r="F185" s="61"/>
      <c r="G185" s="61"/>
      <c r="H185" s="61"/>
    </row>
    <row r="186" spans="2:8" x14ac:dyDescent="0.25">
      <c r="B186" s="60" t="s">
        <v>104</v>
      </c>
      <c r="C186" s="60"/>
      <c r="D186" s="60"/>
      <c r="E186" s="60"/>
      <c r="F186" s="60"/>
      <c r="G186" s="60"/>
    </row>
    <row r="187" spans="2:8" x14ac:dyDescent="0.25">
      <c r="B187" s="14" t="s">
        <v>105</v>
      </c>
      <c r="C187" s="27">
        <v>1834</v>
      </c>
      <c r="D187" s="27">
        <v>20653</v>
      </c>
      <c r="E187" s="27">
        <v>85</v>
      </c>
      <c r="F187" s="27">
        <v>34070</v>
      </c>
      <c r="G187" s="27">
        <f>SUM(C187:F187)</f>
        <v>56642</v>
      </c>
    </row>
    <row r="188" spans="2:8" x14ac:dyDescent="0.25">
      <c r="B188" s="14" t="s">
        <v>106</v>
      </c>
      <c r="C188" s="27">
        <f>19208396/1000000</f>
        <v>19.208396</v>
      </c>
      <c r="D188" s="27">
        <v>290.43473600000004</v>
      </c>
      <c r="E188" s="27">
        <v>3.36</v>
      </c>
      <c r="F188" s="27">
        <v>249.052819</v>
      </c>
      <c r="G188" s="11">
        <f>SUM(C188:F188)</f>
        <v>562.05595100000005</v>
      </c>
    </row>
    <row r="189" spans="2:8" x14ac:dyDescent="0.25">
      <c r="B189" s="61"/>
      <c r="C189" s="61"/>
      <c r="D189" s="61"/>
      <c r="E189" s="61"/>
      <c r="F189" s="61"/>
      <c r="G189" s="61"/>
      <c r="H189" s="61"/>
    </row>
    <row r="190" spans="2:8" x14ac:dyDescent="0.25">
      <c r="B190" s="60" t="s">
        <v>107</v>
      </c>
      <c r="C190" s="60"/>
      <c r="D190" s="60"/>
      <c r="E190" s="60"/>
      <c r="F190" s="60"/>
      <c r="G190" s="60"/>
    </row>
    <row r="191" spans="2:8" x14ac:dyDescent="0.25">
      <c r="B191" s="18" t="s">
        <v>108</v>
      </c>
      <c r="C191" s="19">
        <f>C187+C162+C183</f>
        <v>8766</v>
      </c>
      <c r="D191" s="19">
        <v>341946</v>
      </c>
      <c r="E191" s="19">
        <v>7296</v>
      </c>
      <c r="F191" s="19">
        <f>F158+F162+F183+F187</f>
        <v>68140</v>
      </c>
      <c r="G191" s="19">
        <f>SUM(C191:F191)</f>
        <v>426148</v>
      </c>
    </row>
    <row r="192" spans="2:8" x14ac:dyDescent="0.25">
      <c r="B192" s="18" t="s">
        <v>109</v>
      </c>
      <c r="C192" s="19">
        <f>C188+C163+C184</f>
        <v>245.408174</v>
      </c>
      <c r="D192" s="19">
        <v>5497.8882118710108</v>
      </c>
      <c r="E192" s="19">
        <v>134</v>
      </c>
      <c r="F192" s="19">
        <f>F159+F184+F163+F188</f>
        <v>498.08563800000002</v>
      </c>
      <c r="G192" s="22">
        <f>SUM(C192:F192)</f>
        <v>6375.3820238710105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0AC9-E0AA-4722-818E-3FED0B079F2F}">
  <dimension ref="A1:BD196"/>
  <sheetViews>
    <sheetView zoomScaleNormal="100" workbookViewId="0">
      <selection activeCell="F191" sqref="F191"/>
    </sheetView>
  </sheetViews>
  <sheetFormatPr baseColWidth="10" defaultColWidth="9.140625" defaultRowHeight="15" x14ac:dyDescent="0.25"/>
  <cols>
    <col min="1" max="1" width="11.42578125" style="1" customWidth="1"/>
    <col min="2" max="2" width="53.28515625" bestFit="1" customWidth="1"/>
    <col min="3" max="3" width="17.42578125" bestFit="1" customWidth="1"/>
    <col min="4" max="4" width="16.42578125" bestFit="1" customWidth="1"/>
    <col min="5" max="5" width="14.7109375" bestFit="1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1" t="s">
        <v>1</v>
      </c>
      <c r="D2" s="82"/>
      <c r="E2" s="82"/>
      <c r="F2" s="82"/>
      <c r="G2" s="8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0" t="s">
        <v>7</v>
      </c>
      <c r="C4" s="71"/>
      <c r="D4" s="71"/>
      <c r="E4" s="71"/>
      <c r="F4" s="71"/>
      <c r="G4" s="72"/>
    </row>
    <row r="5" spans="1:7" x14ac:dyDescent="0.25">
      <c r="B5" s="66" t="s">
        <v>8</v>
      </c>
      <c r="C5" s="67"/>
      <c r="D5" s="67"/>
      <c r="E5" s="67"/>
      <c r="F5" s="67"/>
      <c r="G5" s="68"/>
    </row>
    <row r="6" spans="1:7" x14ac:dyDescent="0.25">
      <c r="B6" s="4" t="s">
        <v>9</v>
      </c>
      <c r="C6" s="12">
        <v>55242</v>
      </c>
      <c r="D6" s="12">
        <v>8160</v>
      </c>
      <c r="E6" s="12">
        <v>8164</v>
      </c>
      <c r="F6" s="12">
        <v>9841</v>
      </c>
      <c r="G6" s="12">
        <f>+F6+E6+D6+C6</f>
        <v>81407</v>
      </c>
    </row>
    <row r="7" spans="1:7" x14ac:dyDescent="0.25">
      <c r="B7" s="14" t="s">
        <v>10</v>
      </c>
      <c r="C7" s="12">
        <v>552</v>
      </c>
      <c r="D7" s="12">
        <v>249</v>
      </c>
      <c r="E7" s="12">
        <v>24</v>
      </c>
      <c r="F7" s="12">
        <v>145</v>
      </c>
      <c r="G7" s="12">
        <f>+F7+E7+D7+C7</f>
        <v>970</v>
      </c>
    </row>
    <row r="8" spans="1:7" x14ac:dyDescent="0.25">
      <c r="B8" s="18" t="s">
        <v>11</v>
      </c>
      <c r="C8" s="25">
        <f>SUM(C6:C7)</f>
        <v>55794</v>
      </c>
      <c r="D8" s="25">
        <f>+D6+D7</f>
        <v>8409</v>
      </c>
      <c r="E8" s="25">
        <v>8188</v>
      </c>
      <c r="F8" s="25">
        <v>9986</v>
      </c>
      <c r="G8" s="25">
        <f>+F8+E8+D8+C8</f>
        <v>82377</v>
      </c>
    </row>
    <row r="9" spans="1:7" x14ac:dyDescent="0.25">
      <c r="B9" s="61"/>
      <c r="C9" s="61"/>
      <c r="D9" s="61"/>
      <c r="E9" s="61"/>
      <c r="F9" s="61"/>
      <c r="G9" s="61"/>
    </row>
    <row r="10" spans="1:7" x14ac:dyDescent="0.25">
      <c r="B10" s="66" t="s">
        <v>12</v>
      </c>
      <c r="C10" s="67"/>
      <c r="D10" s="67"/>
      <c r="E10" s="67"/>
      <c r="F10" s="67"/>
      <c r="G10" s="68"/>
    </row>
    <row r="11" spans="1:7" x14ac:dyDescent="0.25">
      <c r="B11" s="62" t="s">
        <v>13</v>
      </c>
      <c r="C11" s="63"/>
      <c r="D11" s="63"/>
      <c r="E11" s="63"/>
      <c r="F11" s="63"/>
      <c r="G11" s="64"/>
    </row>
    <row r="12" spans="1:7" x14ac:dyDescent="0.25">
      <c r="B12" s="16" t="s">
        <v>14</v>
      </c>
      <c r="C12" s="17">
        <v>777794</v>
      </c>
      <c r="D12" s="17">
        <v>100946</v>
      </c>
      <c r="E12" s="17">
        <v>42324</v>
      </c>
      <c r="F12" s="17">
        <v>0</v>
      </c>
      <c r="G12" s="17">
        <f>SUM(C12:F12)</f>
        <v>921064</v>
      </c>
    </row>
    <row r="13" spans="1:7" x14ac:dyDescent="0.25">
      <c r="B13" s="16" t="s">
        <v>15</v>
      </c>
      <c r="C13" s="17">
        <v>2569928</v>
      </c>
      <c r="D13" s="17">
        <v>544758</v>
      </c>
      <c r="E13" s="17">
        <v>238035</v>
      </c>
      <c r="F13" s="17">
        <v>0</v>
      </c>
      <c r="G13" s="17">
        <f>SUM(C13:F13)</f>
        <v>3352721</v>
      </c>
    </row>
    <row r="14" spans="1:7" x14ac:dyDescent="0.25">
      <c r="B14" s="18" t="s">
        <v>16</v>
      </c>
      <c r="C14" s="19">
        <f>C13+C12</f>
        <v>3347722</v>
      </c>
      <c r="D14" s="19">
        <v>965728</v>
      </c>
      <c r="E14" s="19">
        <v>280359</v>
      </c>
      <c r="F14" s="19">
        <v>356400</v>
      </c>
      <c r="G14" s="19">
        <f>SUM(C14:F14)</f>
        <v>4950209</v>
      </c>
    </row>
    <row r="15" spans="1:7" x14ac:dyDescent="0.25">
      <c r="B15" s="18" t="s">
        <v>17</v>
      </c>
      <c r="C15" s="19">
        <v>528721</v>
      </c>
      <c r="D15" s="19">
        <v>169168</v>
      </c>
      <c r="E15" s="19">
        <v>3339</v>
      </c>
      <c r="F15" s="19">
        <v>151687</v>
      </c>
      <c r="G15" s="19">
        <f>SUM(C15:F15)</f>
        <v>852915</v>
      </c>
    </row>
    <row r="16" spans="1:7" x14ac:dyDescent="0.25">
      <c r="B16" s="18" t="s">
        <v>18</v>
      </c>
      <c r="C16" s="19">
        <f>C15+C14</f>
        <v>3876443</v>
      </c>
      <c r="D16" s="19">
        <v>1134896</v>
      </c>
      <c r="E16" s="19">
        <v>283698</v>
      </c>
      <c r="F16" s="19">
        <v>508087</v>
      </c>
      <c r="G16" s="19">
        <f>SUM(C16:F16)</f>
        <v>5803124</v>
      </c>
    </row>
    <row r="17" spans="2:8" x14ac:dyDescent="0.25">
      <c r="B17" s="61"/>
      <c r="C17" s="61"/>
      <c r="D17" s="61"/>
      <c r="E17" s="61"/>
      <c r="F17" s="61"/>
      <c r="G17" s="61"/>
    </row>
    <row r="18" spans="2:8" x14ac:dyDescent="0.25">
      <c r="B18" s="62" t="s">
        <v>19</v>
      </c>
      <c r="C18" s="63"/>
      <c r="D18" s="63"/>
      <c r="E18" s="63"/>
      <c r="F18" s="63"/>
      <c r="G18" s="64"/>
    </row>
    <row r="19" spans="2:8" x14ac:dyDescent="0.25">
      <c r="B19" s="14" t="s">
        <v>20</v>
      </c>
      <c r="C19" s="27">
        <v>3481</v>
      </c>
      <c r="D19" s="27">
        <v>4</v>
      </c>
      <c r="E19" s="27">
        <v>0</v>
      </c>
      <c r="F19" s="27">
        <v>0</v>
      </c>
      <c r="G19" s="27">
        <f>SUM(C19:F19)</f>
        <v>3485</v>
      </c>
    </row>
    <row r="20" spans="2:8" x14ac:dyDescent="0.25">
      <c r="B20" s="84"/>
      <c r="C20" s="84"/>
      <c r="D20" s="84"/>
      <c r="E20" s="84"/>
      <c r="F20" s="84"/>
      <c r="G20" s="84"/>
    </row>
    <row r="21" spans="2:8" x14ac:dyDescent="0.25">
      <c r="B21" s="18" t="s">
        <v>21</v>
      </c>
      <c r="C21" s="19">
        <f>+C19+C16</f>
        <v>3879924</v>
      </c>
      <c r="D21" s="19">
        <v>1134900</v>
      </c>
      <c r="E21" s="19">
        <v>283698</v>
      </c>
      <c r="F21" s="19">
        <f>F16</f>
        <v>508087</v>
      </c>
      <c r="G21" s="19">
        <f>SUM(C21:F21)</f>
        <v>5806609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406686</v>
      </c>
      <c r="D24" s="19">
        <v>203834</v>
      </c>
      <c r="E24" s="19">
        <v>148020</v>
      </c>
      <c r="F24" s="19">
        <v>684122</v>
      </c>
      <c r="G24" s="19">
        <f>SUM(C24:F24)</f>
        <v>1442662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4286610</v>
      </c>
      <c r="D27" s="19">
        <f>+D24+D21</f>
        <v>1338734</v>
      </c>
      <c r="E27" s="19">
        <f>+E21+E24</f>
        <v>431718</v>
      </c>
      <c r="F27" s="19">
        <f>+F24+F21</f>
        <v>1192209</v>
      </c>
      <c r="G27" s="19">
        <f>SUM(C27:F27)</f>
        <v>7249271</v>
      </c>
    </row>
    <row r="28" spans="2:8" x14ac:dyDescent="0.25">
      <c r="B28" s="61"/>
      <c r="C28" s="61"/>
      <c r="D28" s="61"/>
      <c r="E28" s="61"/>
      <c r="F28" s="61"/>
      <c r="G28" s="61"/>
      <c r="H28" s="61"/>
    </row>
    <row r="29" spans="2:8" x14ac:dyDescent="0.25">
      <c r="B29" s="66" t="s">
        <v>26</v>
      </c>
      <c r="C29" s="67"/>
      <c r="D29" s="67"/>
      <c r="E29" s="67"/>
      <c r="F29" s="67"/>
      <c r="G29" s="68"/>
    </row>
    <row r="30" spans="2:8" x14ac:dyDescent="0.25">
      <c r="B30" s="14" t="s">
        <v>27</v>
      </c>
      <c r="C30" s="27">
        <v>1016477</v>
      </c>
      <c r="D30" s="27">
        <v>126564</v>
      </c>
      <c r="E30" s="27">
        <v>77785</v>
      </c>
      <c r="F30" s="27">
        <v>204991</v>
      </c>
      <c r="G30" s="27">
        <f>SUM(C30:F30)</f>
        <v>1425817</v>
      </c>
    </row>
    <row r="31" spans="2:8" x14ac:dyDescent="0.25">
      <c r="B31" s="61"/>
      <c r="C31" s="61"/>
      <c r="D31" s="61"/>
      <c r="E31" s="61"/>
      <c r="F31" s="61"/>
      <c r="G31" s="61"/>
      <c r="H31" s="61"/>
    </row>
    <row r="32" spans="2:8" x14ac:dyDescent="0.25">
      <c r="B32" s="66" t="s">
        <v>28</v>
      </c>
      <c r="C32" s="67"/>
      <c r="D32" s="67"/>
      <c r="E32" s="67"/>
      <c r="F32" s="67"/>
      <c r="G32" s="68"/>
    </row>
    <row r="33" spans="2:9" x14ac:dyDescent="0.25">
      <c r="B33" s="14" t="s">
        <v>29</v>
      </c>
      <c r="C33" s="27">
        <v>4143925290253</v>
      </c>
      <c r="D33" s="27">
        <v>675720318642</v>
      </c>
      <c r="E33" s="27">
        <v>273410001090</v>
      </c>
      <c r="F33" s="27">
        <v>485474407524</v>
      </c>
      <c r="G33" s="27">
        <f>SUM(C33:F33)</f>
        <v>5578530017509</v>
      </c>
    </row>
    <row r="34" spans="2:9" x14ac:dyDescent="0.25">
      <c r="B34" s="14" t="s">
        <v>30</v>
      </c>
      <c r="C34" s="27">
        <v>174722830983</v>
      </c>
      <c r="D34" s="27">
        <v>72415447879</v>
      </c>
      <c r="E34" s="27">
        <v>45646760000</v>
      </c>
      <c r="F34" s="27">
        <v>208877195413</v>
      </c>
      <c r="G34" s="27">
        <f>SUM(C34:F34)</f>
        <v>501662234275</v>
      </c>
    </row>
    <row r="35" spans="2:9" x14ac:dyDescent="0.25">
      <c r="B35" s="39" t="s">
        <v>31</v>
      </c>
      <c r="C35" s="40">
        <f>SUM(C33:C34)</f>
        <v>4318648121236</v>
      </c>
      <c r="D35" s="40">
        <v>748135766521</v>
      </c>
      <c r="E35" s="40">
        <v>319056761090</v>
      </c>
      <c r="F35" s="40">
        <v>694351602937</v>
      </c>
      <c r="G35" s="40">
        <f>SUM(C35:F35)</f>
        <v>6080192251784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0" t="s">
        <v>33</v>
      </c>
      <c r="C38" s="71"/>
      <c r="D38" s="71"/>
      <c r="E38" s="71"/>
      <c r="F38" s="71"/>
      <c r="G38" s="72"/>
    </row>
    <row r="39" spans="2:9" x14ac:dyDescent="0.25">
      <c r="B39" s="66" t="s">
        <v>34</v>
      </c>
      <c r="C39" s="67"/>
      <c r="D39" s="67"/>
      <c r="E39" s="67"/>
      <c r="F39" s="67"/>
      <c r="G39" s="68"/>
    </row>
    <row r="40" spans="2:9" x14ac:dyDescent="0.25">
      <c r="B40" s="14" t="s">
        <v>35</v>
      </c>
      <c r="C40" s="27">
        <v>709008</v>
      </c>
      <c r="D40" s="27">
        <v>114050</v>
      </c>
      <c r="E40" s="27">
        <v>50045</v>
      </c>
      <c r="F40" s="27">
        <v>70392</v>
      </c>
      <c r="G40" s="27">
        <f>SUM(C40:F40)</f>
        <v>943495</v>
      </c>
      <c r="H40" s="7"/>
      <c r="I40" s="7"/>
    </row>
    <row r="41" spans="2:9" x14ac:dyDescent="0.25">
      <c r="B41" s="14" t="s">
        <v>36</v>
      </c>
      <c r="C41" s="27">
        <f>5138840577/1000000</f>
        <v>5138.8405769999999</v>
      </c>
      <c r="D41" s="27">
        <v>1265.425651</v>
      </c>
      <c r="E41" s="27">
        <v>542.79999999999995</v>
      </c>
      <c r="F41" s="27">
        <v>722.01327000000003</v>
      </c>
      <c r="G41" s="11">
        <f>SUM(C41:F41)</f>
        <v>7669.079498000001</v>
      </c>
      <c r="H41" s="7"/>
      <c r="I41" s="7"/>
    </row>
    <row r="42" spans="2:9" x14ac:dyDescent="0.25">
      <c r="B42" s="61"/>
      <c r="C42" s="61"/>
      <c r="D42" s="61"/>
      <c r="E42" s="61"/>
      <c r="F42" s="61"/>
      <c r="G42" s="61"/>
      <c r="H42" s="61"/>
      <c r="I42" s="7"/>
    </row>
    <row r="43" spans="2:9" x14ac:dyDescent="0.25">
      <c r="B43" s="60" t="s">
        <v>37</v>
      </c>
      <c r="C43" s="60"/>
      <c r="D43" s="60"/>
      <c r="E43" s="60"/>
      <c r="F43" s="60"/>
      <c r="G43" s="60"/>
      <c r="I43" s="7"/>
    </row>
    <row r="44" spans="2:9" x14ac:dyDescent="0.25">
      <c r="B44" s="14" t="s">
        <v>38</v>
      </c>
      <c r="C44" s="27">
        <v>6</v>
      </c>
      <c r="D44" s="27">
        <v>3</v>
      </c>
      <c r="E44" s="27">
        <v>0</v>
      </c>
      <c r="F44" s="27">
        <v>0</v>
      </c>
      <c r="G44" s="27">
        <f>SUM(C44:F44)</f>
        <v>9</v>
      </c>
      <c r="H44" s="7"/>
      <c r="I44" s="7"/>
    </row>
    <row r="45" spans="2:9" x14ac:dyDescent="0.25">
      <c r="B45" s="14" t="s">
        <v>39</v>
      </c>
      <c r="C45" s="27">
        <f>4824145/1000000</f>
        <v>4.8241449999999997</v>
      </c>
      <c r="D45" s="27">
        <v>2.6006999999999999E-2</v>
      </c>
      <c r="E45" s="27">
        <v>0</v>
      </c>
      <c r="F45" s="27">
        <v>0</v>
      </c>
      <c r="G45" s="11">
        <f>SUM(C45:F45)</f>
        <v>4.8501519999999996</v>
      </c>
      <c r="H45" s="7"/>
      <c r="I45" s="7"/>
    </row>
    <row r="46" spans="2:9" x14ac:dyDescent="0.25">
      <c r="B46" s="61"/>
      <c r="C46" s="61"/>
      <c r="D46" s="61"/>
      <c r="E46" s="61"/>
      <c r="F46" s="61"/>
      <c r="G46" s="61"/>
      <c r="H46" s="61"/>
      <c r="I46" s="7"/>
    </row>
    <row r="47" spans="2:9" x14ac:dyDescent="0.25">
      <c r="B47" s="60" t="s">
        <v>40</v>
      </c>
      <c r="C47" s="60"/>
      <c r="D47" s="60"/>
      <c r="E47" s="60"/>
      <c r="F47" s="60"/>
      <c r="G47" s="60"/>
      <c r="I47" s="7"/>
    </row>
    <row r="48" spans="2:9" x14ac:dyDescent="0.25">
      <c r="B48" s="14" t="s">
        <v>41</v>
      </c>
      <c r="C48" s="27">
        <v>156002</v>
      </c>
      <c r="D48" s="27">
        <v>79972</v>
      </c>
      <c r="E48" s="27">
        <v>13263</v>
      </c>
      <c r="F48" s="27">
        <v>64270</v>
      </c>
      <c r="G48" s="27">
        <f>SUM(C48:F48)</f>
        <v>313507</v>
      </c>
      <c r="H48" s="7"/>
      <c r="I48" s="7"/>
    </row>
    <row r="49" spans="2:9" x14ac:dyDescent="0.25">
      <c r="B49" s="14" t="s">
        <v>42</v>
      </c>
      <c r="C49" s="27">
        <f>(91964236743+  1748355832)/1000000</f>
        <v>93712.592575000002</v>
      </c>
      <c r="D49" s="27">
        <v>31273</v>
      </c>
      <c r="E49" s="27">
        <v>12192.960710000001</v>
      </c>
      <c r="F49" s="27">
        <v>13619.54083</v>
      </c>
      <c r="G49" s="11">
        <f>SUM(C49:F49)</f>
        <v>150798.09411500001</v>
      </c>
      <c r="H49" s="7"/>
      <c r="I49" s="7"/>
    </row>
    <row r="50" spans="2:9" x14ac:dyDescent="0.25">
      <c r="B50" s="61"/>
      <c r="C50" s="61"/>
      <c r="D50" s="61"/>
      <c r="E50" s="61"/>
      <c r="F50" s="61"/>
      <c r="G50" s="61"/>
      <c r="H50" s="61"/>
    </row>
    <row r="51" spans="2:9" ht="21" x14ac:dyDescent="0.35">
      <c r="B51" s="70" t="s">
        <v>43</v>
      </c>
      <c r="C51" s="71"/>
      <c r="D51" s="71"/>
      <c r="E51" s="71"/>
      <c r="F51" s="71"/>
      <c r="G51" s="72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60" t="s">
        <v>44</v>
      </c>
      <c r="C53" s="60"/>
      <c r="D53" s="60"/>
      <c r="E53" s="60"/>
      <c r="F53" s="60"/>
      <c r="G53" s="60"/>
    </row>
    <row r="54" spans="2:9" x14ac:dyDescent="0.25">
      <c r="B54" s="65" t="s">
        <v>45</v>
      </c>
      <c r="C54" s="65"/>
      <c r="D54" s="65"/>
      <c r="E54" s="65"/>
      <c r="F54" s="65"/>
      <c r="G54" s="65"/>
    </row>
    <row r="55" spans="2:9" x14ac:dyDescent="0.25">
      <c r="B55" s="14" t="s">
        <v>46</v>
      </c>
      <c r="C55" s="27">
        <v>99325</v>
      </c>
      <c r="D55" s="27">
        <v>5381</v>
      </c>
      <c r="E55" s="27">
        <v>1329</v>
      </c>
      <c r="F55" s="27">
        <v>4625</v>
      </c>
      <c r="G55" s="27">
        <f t="shared" ref="G55:G71" si="0">SUM(C55:F55)</f>
        <v>110660</v>
      </c>
    </row>
    <row r="56" spans="2:9" x14ac:dyDescent="0.25">
      <c r="B56" s="14" t="s">
        <v>47</v>
      </c>
      <c r="C56" s="27">
        <v>88003.867033000002</v>
      </c>
      <c r="D56" s="27">
        <v>7303.9452209999699</v>
      </c>
      <c r="E56" s="27">
        <v>1916.1309940000001</v>
      </c>
      <c r="F56" s="27">
        <v>11686</v>
      </c>
      <c r="G56" s="27">
        <f t="shared" si="0"/>
        <v>108909.94324799998</v>
      </c>
    </row>
    <row r="57" spans="2:9" x14ac:dyDescent="0.25">
      <c r="B57" s="14" t="s">
        <v>48</v>
      </c>
      <c r="C57" s="27">
        <v>16.525698464636299</v>
      </c>
      <c r="D57" s="27">
        <v>39</v>
      </c>
      <c r="E57" s="27">
        <v>20.548532731376977</v>
      </c>
      <c r="F57" s="27">
        <v>29</v>
      </c>
      <c r="G57" s="27">
        <f>AVERAGE(C57:F57)</f>
        <v>26.268557799003318</v>
      </c>
    </row>
    <row r="58" spans="2:9" x14ac:dyDescent="0.25">
      <c r="B58" s="14" t="s">
        <v>49</v>
      </c>
      <c r="C58" s="27">
        <v>858186</v>
      </c>
      <c r="D58" s="27">
        <v>152922</v>
      </c>
      <c r="E58" s="27">
        <v>53040</v>
      </c>
      <c r="F58" s="27">
        <v>82660</v>
      </c>
      <c r="G58" s="27">
        <f t="shared" si="0"/>
        <v>1146808</v>
      </c>
    </row>
    <row r="59" spans="2:9" x14ac:dyDescent="0.25">
      <c r="B59" s="14" t="s">
        <v>50</v>
      </c>
      <c r="C59" s="27">
        <v>1880741.6576080001</v>
      </c>
      <c r="D59" s="27">
        <v>272801.35408100003</v>
      </c>
      <c r="E59" s="27">
        <v>109502.708142</v>
      </c>
      <c r="F59" s="27">
        <v>193267</v>
      </c>
      <c r="G59" s="11">
        <f t="shared" si="0"/>
        <v>2456312.7198310001</v>
      </c>
    </row>
    <row r="60" spans="2:9" x14ac:dyDescent="0.25">
      <c r="B60" s="65" t="s">
        <v>51</v>
      </c>
      <c r="C60" s="65"/>
      <c r="D60" s="65"/>
      <c r="E60" s="65"/>
      <c r="F60" s="65"/>
      <c r="G60" s="65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5" t="s">
        <v>52</v>
      </c>
      <c r="C66" s="65"/>
      <c r="D66" s="65"/>
      <c r="E66" s="65"/>
      <c r="F66" s="65"/>
      <c r="G66" s="65"/>
    </row>
    <row r="67" spans="2:8" x14ac:dyDescent="0.25">
      <c r="B67" s="14" t="s">
        <v>46</v>
      </c>
      <c r="C67" s="27">
        <v>6318</v>
      </c>
      <c r="D67" s="27">
        <v>1799</v>
      </c>
      <c r="E67" s="27">
        <v>1653</v>
      </c>
      <c r="F67" s="27">
        <v>12149</v>
      </c>
      <c r="G67" s="27">
        <f t="shared" si="0"/>
        <v>21919</v>
      </c>
    </row>
    <row r="68" spans="2:8" x14ac:dyDescent="0.25">
      <c r="B68" s="14" t="s">
        <v>47</v>
      </c>
      <c r="C68" s="27">
        <v>5258.461867</v>
      </c>
      <c r="D68" s="27">
        <v>1891.1827390000001</v>
      </c>
      <c r="E68" s="27">
        <v>2125.5826590000001</v>
      </c>
      <c r="F68" s="27">
        <v>15335</v>
      </c>
      <c r="G68" s="27">
        <f t="shared" si="0"/>
        <v>24610.227265000001</v>
      </c>
    </row>
    <row r="69" spans="2:8" x14ac:dyDescent="0.25">
      <c r="B69" s="14" t="s">
        <v>48</v>
      </c>
      <c r="C69" s="27">
        <v>37.936372269705601</v>
      </c>
      <c r="D69" s="27">
        <v>55</v>
      </c>
      <c r="E69" s="27">
        <v>50.071385359951606</v>
      </c>
      <c r="F69" s="27">
        <v>38</v>
      </c>
      <c r="G69" s="27">
        <f>AVERAGE(C69:F69)</f>
        <v>45.251939407414298</v>
      </c>
    </row>
    <row r="70" spans="2:8" x14ac:dyDescent="0.25">
      <c r="B70" s="14" t="s">
        <v>49</v>
      </c>
      <c r="C70" s="27">
        <v>138617</v>
      </c>
      <c r="D70" s="27">
        <v>90054</v>
      </c>
      <c r="E70" s="27">
        <v>70089</v>
      </c>
      <c r="F70" s="27">
        <v>275535</v>
      </c>
      <c r="G70" s="27">
        <f t="shared" si="0"/>
        <v>574295</v>
      </c>
    </row>
    <row r="71" spans="2:8" x14ac:dyDescent="0.25">
      <c r="B71" s="14" t="s">
        <v>50</v>
      </c>
      <c r="C71" s="27">
        <v>146097.25123600001</v>
      </c>
      <c r="D71" s="27">
        <v>106895.49415100001</v>
      </c>
      <c r="E71" s="27">
        <v>75392.014389000004</v>
      </c>
      <c r="F71" s="27">
        <v>261235</v>
      </c>
      <c r="G71" s="11">
        <f t="shared" si="0"/>
        <v>589619.75977600005</v>
      </c>
    </row>
    <row r="72" spans="2:8" x14ac:dyDescent="0.25">
      <c r="B72" s="74" t="s">
        <v>53</v>
      </c>
      <c r="C72" s="75"/>
      <c r="D72" s="75"/>
      <c r="E72" s="75"/>
      <c r="F72" s="75"/>
      <c r="G72" s="76"/>
    </row>
    <row r="73" spans="2:8" x14ac:dyDescent="0.25">
      <c r="B73" s="18" t="s">
        <v>54</v>
      </c>
      <c r="C73" s="19">
        <f>+C55+C67</f>
        <v>105643</v>
      </c>
      <c r="D73" s="19">
        <v>7180</v>
      </c>
      <c r="E73" s="19">
        <v>2982</v>
      </c>
      <c r="F73" s="19">
        <v>16774</v>
      </c>
      <c r="G73" s="19">
        <f>SUM(C73:F73)</f>
        <v>132579</v>
      </c>
    </row>
    <row r="74" spans="2:8" x14ac:dyDescent="0.25">
      <c r="B74" s="18" t="s">
        <v>47</v>
      </c>
      <c r="C74" s="19">
        <f>+C56+C68</f>
        <v>93262.328900000008</v>
      </c>
      <c r="D74" s="19">
        <v>9195.1279599999707</v>
      </c>
      <c r="E74" s="19">
        <v>4041.7136530000002</v>
      </c>
      <c r="F74" s="19">
        <v>27021</v>
      </c>
      <c r="G74" s="22">
        <f>SUM(C74:F74)</f>
        <v>133520.17051299999</v>
      </c>
    </row>
    <row r="75" spans="2:8" x14ac:dyDescent="0.25">
      <c r="B75" s="18" t="s">
        <v>48</v>
      </c>
      <c r="C75" s="19">
        <v>17.806167942977801</v>
      </c>
      <c r="D75" s="19">
        <v>31.333333333333332</v>
      </c>
      <c r="E75" s="19">
        <v>36.913816230717636</v>
      </c>
      <c r="F75" s="19">
        <v>33.5</v>
      </c>
      <c r="G75" s="19">
        <f>AVERAGE(C75:F75)</f>
        <v>29.888329376757191</v>
      </c>
    </row>
    <row r="76" spans="2:8" x14ac:dyDescent="0.25">
      <c r="B76" s="18" t="s">
        <v>49</v>
      </c>
      <c r="C76" s="19">
        <f>+C58+C70</f>
        <v>996803</v>
      </c>
      <c r="D76" s="19">
        <v>242976</v>
      </c>
      <c r="E76" s="19">
        <v>123129</v>
      </c>
      <c r="F76" s="19">
        <v>358195</v>
      </c>
      <c r="G76" s="19">
        <f>SUM(C76:F76)</f>
        <v>1721103</v>
      </c>
    </row>
    <row r="77" spans="2:8" x14ac:dyDescent="0.25">
      <c r="B77" s="18" t="s">
        <v>50</v>
      </c>
      <c r="C77" s="19">
        <f>+C59+C71</f>
        <v>2026838.9088440002</v>
      </c>
      <c r="D77" s="19">
        <v>379696.84823200002</v>
      </c>
      <c r="E77" s="19">
        <v>184894.72253100001</v>
      </c>
      <c r="F77" s="19">
        <v>454502</v>
      </c>
      <c r="G77" s="22">
        <f>SUM(C77:F77)</f>
        <v>3045932.4796070005</v>
      </c>
    </row>
    <row r="78" spans="2:8" x14ac:dyDescent="0.25">
      <c r="B78" s="61"/>
      <c r="C78" s="61"/>
      <c r="D78" s="61"/>
      <c r="E78" s="61"/>
      <c r="F78" s="61"/>
      <c r="G78" s="61"/>
      <c r="H78" s="61"/>
    </row>
    <row r="79" spans="2:8" x14ac:dyDescent="0.25">
      <c r="B79" s="66" t="s">
        <v>55</v>
      </c>
      <c r="C79" s="67"/>
      <c r="D79" s="67"/>
      <c r="E79" s="67"/>
      <c r="F79" s="67"/>
      <c r="G79" s="68"/>
    </row>
    <row r="80" spans="2:8" x14ac:dyDescent="0.25">
      <c r="B80" s="62" t="s">
        <v>45</v>
      </c>
      <c r="C80" s="63"/>
      <c r="D80" s="63"/>
      <c r="E80" s="63"/>
      <c r="F80" s="63"/>
      <c r="G80" s="64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982</v>
      </c>
      <c r="D84" s="24">
        <v>114</v>
      </c>
      <c r="E84" s="24">
        <v>6</v>
      </c>
      <c r="F84" s="24">
        <v>91</v>
      </c>
      <c r="G84" s="24">
        <f>SUM(C84:F84)</f>
        <v>1193</v>
      </c>
    </row>
    <row r="85" spans="2:7" x14ac:dyDescent="0.25">
      <c r="B85" s="14" t="s">
        <v>50</v>
      </c>
      <c r="C85" s="24">
        <v>21203.732155999998</v>
      </c>
      <c r="D85" s="24">
        <v>1433</v>
      </c>
      <c r="E85" s="24">
        <v>75</v>
      </c>
      <c r="F85" s="24">
        <v>1682.1102189999999</v>
      </c>
      <c r="G85" s="11">
        <f>SUM(C85:F85)</f>
        <v>24393.842374999997</v>
      </c>
    </row>
    <row r="86" spans="2:7" x14ac:dyDescent="0.25">
      <c r="B86" s="62" t="s">
        <v>51</v>
      </c>
      <c r="C86" s="63"/>
      <c r="D86" s="63"/>
      <c r="E86" s="63"/>
      <c r="F86" s="63"/>
      <c r="G86" s="6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2" t="s">
        <v>52</v>
      </c>
      <c r="C92" s="63"/>
      <c r="D92" s="63"/>
      <c r="E92" s="63"/>
      <c r="F92" s="63"/>
      <c r="G92" s="64"/>
    </row>
    <row r="93" spans="2:7" x14ac:dyDescent="0.25">
      <c r="B93" s="14" t="s">
        <v>46</v>
      </c>
      <c r="C93" s="24">
        <v>0</v>
      </c>
      <c r="D93" s="24">
        <v>0</v>
      </c>
      <c r="E93" s="24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4">
        <v>0</v>
      </c>
      <c r="D94" s="24">
        <v>0</v>
      </c>
      <c r="E94" s="24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4">
        <v>0</v>
      </c>
      <c r="D95" s="24">
        <v>0</v>
      </c>
      <c r="E95" s="24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/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172.19246799999999</v>
      </c>
      <c r="D97" s="24">
        <v>0</v>
      </c>
      <c r="E97" s="24"/>
      <c r="F97" s="24">
        <v>77.834811999999999</v>
      </c>
      <c r="G97" s="11">
        <f>SUM(C97:F97)</f>
        <v>250.02727999999999</v>
      </c>
    </row>
    <row r="98" spans="2:8" x14ac:dyDescent="0.25">
      <c r="B98" s="74" t="s">
        <v>56</v>
      </c>
      <c r="C98" s="75"/>
      <c r="D98" s="75"/>
      <c r="E98" s="75"/>
      <c r="F98" s="75"/>
      <c r="G98" s="76"/>
    </row>
    <row r="99" spans="2:8" x14ac:dyDescent="0.25">
      <c r="B99" s="18" t="s">
        <v>46</v>
      </c>
      <c r="C99" s="19">
        <v>0</v>
      </c>
      <c r="D99" s="19">
        <v>0</v>
      </c>
      <c r="E99" s="19">
        <v>0</v>
      </c>
      <c r="F99" s="19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992</v>
      </c>
      <c r="D102" s="19">
        <f t="shared" ref="D102:D103" si="1">+D96+D90+D84</f>
        <v>114</v>
      </c>
      <c r="E102" s="19">
        <f>+E84</f>
        <v>6</v>
      </c>
      <c r="F102" s="19">
        <f>+F96+F84</f>
        <v>97</v>
      </c>
      <c r="G102" s="19">
        <f>SUM(C102:F102)</f>
        <v>1209</v>
      </c>
    </row>
    <row r="103" spans="2:8" x14ac:dyDescent="0.25">
      <c r="B103" s="18" t="s">
        <v>50</v>
      </c>
      <c r="C103" s="19">
        <f>+C97+C85</f>
        <v>21375.924623999999</v>
      </c>
      <c r="D103" s="19">
        <f t="shared" si="1"/>
        <v>1433</v>
      </c>
      <c r="E103" s="19">
        <f>+E85</f>
        <v>75</v>
      </c>
      <c r="F103" s="19">
        <f>+F85+F97</f>
        <v>1759.945031</v>
      </c>
      <c r="G103" s="22">
        <f>SUM(C103:F103)</f>
        <v>24643.869654999999</v>
      </c>
    </row>
    <row r="104" spans="2:8" x14ac:dyDescent="0.25">
      <c r="B104" s="61"/>
      <c r="C104" s="61"/>
      <c r="D104" s="61"/>
      <c r="E104" s="61"/>
      <c r="F104" s="61"/>
      <c r="G104" s="61"/>
      <c r="H104" s="61"/>
    </row>
    <row r="105" spans="2:8" x14ac:dyDescent="0.25">
      <c r="B105" s="60" t="s">
        <v>57</v>
      </c>
      <c r="C105" s="60"/>
      <c r="D105" s="60"/>
      <c r="E105" s="60"/>
      <c r="F105" s="60"/>
      <c r="G105" s="60"/>
    </row>
    <row r="106" spans="2:8" x14ac:dyDescent="0.25">
      <c r="B106" s="65" t="s">
        <v>58</v>
      </c>
      <c r="C106" s="65"/>
      <c r="D106" s="65"/>
      <c r="E106" s="65"/>
      <c r="F106" s="65"/>
      <c r="G106" s="65"/>
    </row>
    <row r="107" spans="2:8" x14ac:dyDescent="0.25">
      <c r="B107" s="14" t="s">
        <v>59</v>
      </c>
      <c r="C107" s="13">
        <v>2.8192920181271939</v>
      </c>
      <c r="D107" s="13">
        <v>2.5499999999999998</v>
      </c>
      <c r="E107" s="30">
        <v>2.8244227642276423</v>
      </c>
      <c r="F107" s="13">
        <v>2.54</v>
      </c>
      <c r="G107" s="13">
        <f>AVERAGE(C107:F107)</f>
        <v>2.6834286955887086</v>
      </c>
    </row>
    <row r="108" spans="2:8" x14ac:dyDescent="0.25">
      <c r="B108" s="14" t="s">
        <v>60</v>
      </c>
      <c r="C108" s="13">
        <v>2.2357234636872261</v>
      </c>
      <c r="D108" s="13">
        <v>2.62</v>
      </c>
      <c r="E108" s="30">
        <v>2.6608433734939756</v>
      </c>
      <c r="F108" s="13">
        <v>2.62</v>
      </c>
      <c r="G108" s="13">
        <f>AVERAGE(C108:F108)</f>
        <v>2.5341417092953007</v>
      </c>
    </row>
    <row r="109" spans="2:8" x14ac:dyDescent="0.25">
      <c r="B109" s="14" t="s">
        <v>61</v>
      </c>
      <c r="C109" s="13">
        <v>2.039590554188603</v>
      </c>
      <c r="D109" s="13">
        <v>2.62</v>
      </c>
      <c r="E109" s="30">
        <v>2.6035294117647059</v>
      </c>
      <c r="F109" s="13">
        <v>2.62</v>
      </c>
      <c r="G109" s="13">
        <f>AVERAGE(C109:F109)</f>
        <v>2.4707799914883273</v>
      </c>
    </row>
    <row r="110" spans="2:8" x14ac:dyDescent="0.25">
      <c r="B110" s="65" t="s">
        <v>62</v>
      </c>
      <c r="C110" s="65"/>
      <c r="D110" s="65"/>
      <c r="E110" s="65"/>
      <c r="F110" s="65"/>
      <c r="G110" s="65"/>
    </row>
    <row r="111" spans="2:8" x14ac:dyDescent="0.25">
      <c r="B111" s="14" t="s">
        <v>59</v>
      </c>
      <c r="C111" s="13">
        <v>1.966666666666667</v>
      </c>
      <c r="D111" s="13">
        <v>1.95</v>
      </c>
      <c r="E111" s="30">
        <v>1.4350000000000001</v>
      </c>
      <c r="F111" s="13">
        <v>1.8</v>
      </c>
      <c r="G111" s="13">
        <f>AVERAGE(C111:F111)</f>
        <v>1.7879166666666666</v>
      </c>
    </row>
    <row r="112" spans="2:8" x14ac:dyDescent="0.25">
      <c r="B112" s="14" t="s">
        <v>60</v>
      </c>
      <c r="C112" s="13">
        <v>2.0038834951456326</v>
      </c>
      <c r="D112" s="13">
        <v>2.16</v>
      </c>
      <c r="E112" s="30">
        <v>2.16</v>
      </c>
      <c r="F112" s="13">
        <v>2.16</v>
      </c>
      <c r="G112" s="13">
        <f>AVERAGE(C112:F112)</f>
        <v>2.1209708737864084</v>
      </c>
    </row>
    <row r="113" spans="2:9" x14ac:dyDescent="0.25">
      <c r="B113" s="14" t="s">
        <v>61</v>
      </c>
      <c r="C113" s="13">
        <v>2.0000580875781875</v>
      </c>
      <c r="D113" s="13">
        <v>2.16</v>
      </c>
      <c r="E113" s="30">
        <v>2.06</v>
      </c>
      <c r="F113" s="13">
        <v>2.14</v>
      </c>
      <c r="G113" s="13">
        <f>AVERAGE(C113:F113)</f>
        <v>2.0900145218945472</v>
      </c>
    </row>
    <row r="114" spans="2:9" x14ac:dyDescent="0.25">
      <c r="B114" s="61"/>
      <c r="C114" s="61"/>
      <c r="D114" s="61"/>
      <c r="E114" s="61"/>
      <c r="F114" s="61"/>
      <c r="G114" s="61"/>
      <c r="H114" s="61"/>
      <c r="I114" s="61"/>
    </row>
    <row r="115" spans="2:9" x14ac:dyDescent="0.25">
      <c r="B115" s="65" t="s">
        <v>63</v>
      </c>
      <c r="C115" s="65"/>
      <c r="D115" s="65"/>
      <c r="E115" s="65"/>
      <c r="F115" s="65"/>
      <c r="G115" s="65"/>
    </row>
    <row r="116" spans="2:9" x14ac:dyDescent="0.25">
      <c r="B116" s="14" t="s">
        <v>59</v>
      </c>
      <c r="C116" s="13">
        <v>1.4967835178351787</v>
      </c>
      <c r="D116" s="13">
        <v>1.79</v>
      </c>
      <c r="E116" s="30">
        <v>1.9646666666666668</v>
      </c>
      <c r="F116" s="13">
        <v>1.78</v>
      </c>
      <c r="G116" s="13">
        <f>AVERAGE(C116:F116)</f>
        <v>1.7578625461254616</v>
      </c>
    </row>
    <row r="117" spans="2:9" x14ac:dyDescent="0.25">
      <c r="B117" s="14" t="s">
        <v>60</v>
      </c>
      <c r="C117" s="13">
        <v>1.757333333333382</v>
      </c>
      <c r="D117" s="13">
        <v>1.79</v>
      </c>
      <c r="E117" s="30">
        <v>1.9279338842975207</v>
      </c>
      <c r="F117" s="13">
        <v>1.78</v>
      </c>
      <c r="G117" s="13">
        <f>AVERAGE(C117:F117)</f>
        <v>1.8138168044077259</v>
      </c>
    </row>
    <row r="118" spans="2:9" x14ac:dyDescent="0.25">
      <c r="B118" s="14" t="s">
        <v>61</v>
      </c>
      <c r="C118" s="13">
        <v>1.7146938775510236</v>
      </c>
      <c r="D118" s="13">
        <v>1.74</v>
      </c>
      <c r="E118" s="30">
        <v>2.0249886104783599</v>
      </c>
      <c r="F118" s="13">
        <v>1.99</v>
      </c>
      <c r="G118" s="13">
        <f>AVERAGE(C118:F118)</f>
        <v>1.8674206220073459</v>
      </c>
    </row>
    <row r="119" spans="2:9" x14ac:dyDescent="0.25">
      <c r="B119" s="62" t="s">
        <v>64</v>
      </c>
      <c r="C119" s="63"/>
      <c r="D119" s="63"/>
      <c r="E119" s="63"/>
      <c r="F119" s="63"/>
      <c r="G119" s="64"/>
    </row>
    <row r="120" spans="2:9" x14ac:dyDescent="0.25">
      <c r="B120" s="14" t="s">
        <v>59</v>
      </c>
      <c r="C120" s="13"/>
      <c r="D120" s="13">
        <v>1.43</v>
      </c>
      <c r="E120" s="30">
        <v>0</v>
      </c>
      <c r="F120" s="13">
        <v>1.2</v>
      </c>
      <c r="G120" s="13">
        <f>AVERAGE(C120:F120)</f>
        <v>0.87666666666666659</v>
      </c>
    </row>
    <row r="121" spans="2:9" x14ac:dyDescent="0.25">
      <c r="B121" s="14" t="s">
        <v>60</v>
      </c>
      <c r="C121" s="13">
        <v>1.34</v>
      </c>
      <c r="D121" s="13">
        <v>1.43</v>
      </c>
      <c r="E121" s="30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0">
        <v>1.43</v>
      </c>
      <c r="F122" s="13">
        <v>1.43</v>
      </c>
      <c r="G122" s="13">
        <f>AVERAGE(C122:F122)</f>
        <v>1.43</v>
      </c>
    </row>
    <row r="123" spans="2:9" x14ac:dyDescent="0.25">
      <c r="B123" s="61"/>
      <c r="C123" s="61"/>
      <c r="D123" s="61"/>
      <c r="E123" s="61"/>
      <c r="F123" s="61"/>
      <c r="G123" s="61"/>
      <c r="H123" s="61"/>
    </row>
    <row r="124" spans="2:9" x14ac:dyDescent="0.25">
      <c r="B124" s="66" t="s">
        <v>65</v>
      </c>
      <c r="C124" s="67"/>
      <c r="D124" s="67"/>
      <c r="E124" s="67"/>
      <c r="F124" s="67"/>
      <c r="G124" s="68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6" t="s">
        <v>67</v>
      </c>
      <c r="C126" s="67"/>
      <c r="D126" s="67"/>
      <c r="E126" s="67"/>
      <c r="F126" s="67"/>
      <c r="G126" s="68"/>
    </row>
    <row r="127" spans="2:9" x14ac:dyDescent="0.25">
      <c r="B127" s="3" t="s">
        <v>68</v>
      </c>
      <c r="C127" s="13">
        <v>1.99</v>
      </c>
      <c r="D127" s="37">
        <v>2.0979809999999999</v>
      </c>
      <c r="E127" s="33">
        <v>2.3023111029526753</v>
      </c>
      <c r="F127" s="4">
        <v>0</v>
      </c>
      <c r="G127" s="11">
        <f>AVERAGE(C127:E127)</f>
        <v>2.1300973676508916</v>
      </c>
    </row>
    <row r="128" spans="2:9" x14ac:dyDescent="0.25">
      <c r="B128" s="73"/>
      <c r="C128" s="73"/>
      <c r="D128" s="73"/>
      <c r="E128" s="73"/>
      <c r="F128" s="73"/>
      <c r="G128" s="73"/>
      <c r="H128" s="73"/>
    </row>
    <row r="129" spans="2:9" x14ac:dyDescent="0.25">
      <c r="B129" s="60" t="s">
        <v>69</v>
      </c>
      <c r="C129" s="60"/>
      <c r="D129" s="60"/>
      <c r="E129" s="60"/>
      <c r="F129" s="60"/>
      <c r="G129" s="60"/>
    </row>
    <row r="130" spans="2:9" x14ac:dyDescent="0.25">
      <c r="B130" s="14" t="s">
        <v>70</v>
      </c>
      <c r="C130" s="27">
        <v>238248</v>
      </c>
      <c r="D130" s="27">
        <v>3447</v>
      </c>
      <c r="E130" s="27">
        <v>8106</v>
      </c>
      <c r="F130" s="27">
        <v>767</v>
      </c>
      <c r="G130" s="27">
        <f>SUM(C130:F130)</f>
        <v>250568</v>
      </c>
    </row>
    <row r="131" spans="2:9" x14ac:dyDescent="0.25">
      <c r="B131" s="14" t="s">
        <v>71</v>
      </c>
      <c r="C131" s="27">
        <v>159306.50850200001</v>
      </c>
      <c r="D131" s="27">
        <v>3876</v>
      </c>
      <c r="E131" s="27">
        <v>1010</v>
      </c>
      <c r="F131" s="27">
        <v>738.02029900000002</v>
      </c>
      <c r="G131" s="11">
        <f>SUM(C131:F131)</f>
        <v>164930.52880100001</v>
      </c>
    </row>
    <row r="132" spans="2:9" x14ac:dyDescent="0.25">
      <c r="B132" s="61"/>
      <c r="C132" s="61"/>
      <c r="D132" s="61"/>
      <c r="E132" s="61"/>
      <c r="F132" s="61"/>
      <c r="G132" s="61"/>
      <c r="H132" s="61"/>
    </row>
    <row r="133" spans="2:9" x14ac:dyDescent="0.25">
      <c r="B133" s="60" t="s">
        <v>72</v>
      </c>
      <c r="C133" s="60"/>
      <c r="D133" s="60"/>
      <c r="E133" s="60"/>
      <c r="F133" s="60"/>
      <c r="G133" s="60"/>
    </row>
    <row r="134" spans="2:9" x14ac:dyDescent="0.25">
      <c r="B134" s="14" t="s">
        <v>73</v>
      </c>
      <c r="C134" s="27">
        <v>832224</v>
      </c>
      <c r="D134" s="27">
        <v>396138</v>
      </c>
      <c r="E134" s="27">
        <v>145197</v>
      </c>
      <c r="F134" s="27">
        <v>290470</v>
      </c>
      <c r="G134" s="27">
        <f>SUM(C134:F134)</f>
        <v>1664029</v>
      </c>
    </row>
    <row r="135" spans="2:9" x14ac:dyDescent="0.25">
      <c r="B135" s="61"/>
      <c r="C135" s="61"/>
      <c r="D135" s="61"/>
      <c r="E135" s="61"/>
      <c r="F135" s="61"/>
      <c r="G135" s="61"/>
      <c r="H135" s="61"/>
    </row>
    <row r="136" spans="2:9" ht="21" x14ac:dyDescent="0.35">
      <c r="B136" s="69" t="s">
        <v>74</v>
      </c>
      <c r="C136" s="69"/>
      <c r="D136" s="69"/>
      <c r="E136" s="69"/>
      <c r="F136" s="69"/>
      <c r="G136" s="69"/>
    </row>
    <row r="137" spans="2:9" x14ac:dyDescent="0.25">
      <c r="B137" s="60" t="s">
        <v>75</v>
      </c>
      <c r="C137" s="60"/>
      <c r="D137" s="60"/>
      <c r="E137" s="60"/>
      <c r="F137" s="60"/>
      <c r="G137" s="60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15113</v>
      </c>
      <c r="G138" s="27">
        <f>SUM(C138:F138)</f>
        <v>15113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215</v>
      </c>
      <c r="G139" s="27">
        <f>SUM(C139:F139)</f>
        <v>215</v>
      </c>
      <c r="H139" s="7"/>
      <c r="I139" s="7"/>
    </row>
    <row r="140" spans="2:9" x14ac:dyDescent="0.25">
      <c r="B140" s="61"/>
      <c r="C140" s="61"/>
      <c r="D140" s="61"/>
      <c r="E140" s="61"/>
      <c r="F140" s="61"/>
      <c r="G140" s="61"/>
      <c r="H140" s="61"/>
      <c r="I140" s="7"/>
    </row>
    <row r="141" spans="2:9" x14ac:dyDescent="0.25">
      <c r="B141" s="61"/>
      <c r="C141" s="61"/>
      <c r="D141" s="61"/>
      <c r="E141" s="61"/>
      <c r="F141" s="61"/>
      <c r="G141" s="61"/>
      <c r="H141" s="61"/>
    </row>
    <row r="142" spans="2:9" ht="21" x14ac:dyDescent="0.35">
      <c r="B142" s="70" t="s">
        <v>78</v>
      </c>
      <c r="C142" s="71"/>
      <c r="D142" s="71"/>
      <c r="E142" s="71"/>
      <c r="F142" s="71"/>
      <c r="G142" s="72"/>
    </row>
    <row r="143" spans="2:9" x14ac:dyDescent="0.25">
      <c r="B143" s="66" t="s">
        <v>79</v>
      </c>
      <c r="C143" s="67"/>
      <c r="D143" s="67"/>
      <c r="E143" s="67"/>
      <c r="F143" s="67"/>
      <c r="G143" s="68"/>
    </row>
    <row r="144" spans="2:9" x14ac:dyDescent="0.25">
      <c r="B144" s="61"/>
      <c r="C144" s="61"/>
      <c r="D144" s="61"/>
      <c r="E144" s="61"/>
      <c r="F144" s="61"/>
      <c r="G144" s="61"/>
      <c r="H144" s="61"/>
    </row>
    <row r="145" spans="2:8" x14ac:dyDescent="0.25">
      <c r="B145" s="65" t="s">
        <v>80</v>
      </c>
      <c r="C145" s="65"/>
      <c r="D145" s="65"/>
      <c r="E145" s="65"/>
      <c r="F145" s="65"/>
      <c r="G145" s="65"/>
    </row>
    <row r="146" spans="2:8" x14ac:dyDescent="0.25">
      <c r="B146" s="14" t="s">
        <v>81</v>
      </c>
      <c r="C146" s="27">
        <v>0</v>
      </c>
      <c r="D146" s="27">
        <v>1075</v>
      </c>
      <c r="E146" s="27">
        <v>0</v>
      </c>
      <c r="F146" s="1">
        <v>893</v>
      </c>
      <c r="G146" s="27">
        <f>SUM(C146:F146)</f>
        <v>1968</v>
      </c>
    </row>
    <row r="147" spans="2:8" x14ac:dyDescent="0.25">
      <c r="B147" s="14" t="s">
        <v>82</v>
      </c>
      <c r="C147" s="27">
        <v>0</v>
      </c>
      <c r="D147" s="27">
        <v>23.456</v>
      </c>
      <c r="E147" s="27">
        <v>0</v>
      </c>
      <c r="F147" s="29">
        <v>9.4142499999999991</v>
      </c>
      <c r="G147" s="11">
        <f>SUM(C147:F147)</f>
        <v>32.870249999999999</v>
      </c>
    </row>
    <row r="148" spans="2:8" x14ac:dyDescent="0.25">
      <c r="B148" s="61"/>
      <c r="C148" s="61"/>
      <c r="D148" s="61"/>
      <c r="E148" s="61"/>
      <c r="F148" s="61"/>
      <c r="G148" s="61"/>
      <c r="H148" s="61"/>
    </row>
    <row r="149" spans="2:8" x14ac:dyDescent="0.25">
      <c r="B149" s="65" t="s">
        <v>83</v>
      </c>
      <c r="C149" s="65"/>
      <c r="D149" s="65"/>
      <c r="E149" s="65"/>
      <c r="F149" s="65"/>
      <c r="G149" s="65"/>
    </row>
    <row r="150" spans="2:8" x14ac:dyDescent="0.25">
      <c r="B150" s="14" t="s">
        <v>84</v>
      </c>
      <c r="C150" s="27">
        <v>0</v>
      </c>
      <c r="D150" s="36">
        <v>4</v>
      </c>
      <c r="E150" s="27">
        <v>0</v>
      </c>
      <c r="F150" s="27">
        <v>0</v>
      </c>
      <c r="G150" s="27">
        <f>SUM(C150:F150)</f>
        <v>4</v>
      </c>
      <c r="H150"/>
    </row>
    <row r="151" spans="2:8" x14ac:dyDescent="0.25">
      <c r="B151" s="14" t="s">
        <v>85</v>
      </c>
      <c r="C151" s="27">
        <v>0</v>
      </c>
      <c r="D151" s="36">
        <v>0.44</v>
      </c>
      <c r="E151" s="27">
        <v>0</v>
      </c>
      <c r="F151" s="27">
        <v>0</v>
      </c>
      <c r="G151" s="11">
        <f>SUM(C151:F151)</f>
        <v>0.44</v>
      </c>
      <c r="H151"/>
    </row>
    <row r="152" spans="2:8" x14ac:dyDescent="0.25">
      <c r="B152" s="61"/>
      <c r="C152" s="61"/>
      <c r="D152" s="61"/>
      <c r="E152" s="61"/>
      <c r="F152" s="61"/>
      <c r="G152" s="61"/>
      <c r="H152" s="61"/>
    </row>
    <row r="153" spans="2:8" x14ac:dyDescent="0.25">
      <c r="B153" s="65" t="s">
        <v>86</v>
      </c>
      <c r="C153" s="65"/>
      <c r="D153" s="65"/>
      <c r="E153" s="65"/>
      <c r="F153" s="65"/>
      <c r="G153" s="65"/>
    </row>
    <row r="154" spans="2:8" x14ac:dyDescent="0.25">
      <c r="B154" s="14" t="s">
        <v>87</v>
      </c>
      <c r="C154" s="14">
        <v>0</v>
      </c>
      <c r="D154" s="27">
        <v>427</v>
      </c>
      <c r="E154" s="35">
        <v>0</v>
      </c>
      <c r="F154" s="34">
        <v>0</v>
      </c>
      <c r="G154" s="27">
        <f>SUM(C154:F154)</f>
        <v>427</v>
      </c>
      <c r="H154"/>
    </row>
    <row r="155" spans="2:8" x14ac:dyDescent="0.25">
      <c r="B155" s="14" t="s">
        <v>88</v>
      </c>
      <c r="C155" s="11">
        <v>0</v>
      </c>
      <c r="D155" s="27">
        <v>5.75</v>
      </c>
      <c r="E155" s="35">
        <v>0</v>
      </c>
      <c r="F155" s="34">
        <v>0</v>
      </c>
      <c r="G155" s="11">
        <f>SUM(C155:F155)</f>
        <v>5.75</v>
      </c>
      <c r="H155"/>
    </row>
    <row r="156" spans="2:8" x14ac:dyDescent="0.25">
      <c r="B156" s="61"/>
      <c r="C156" s="61"/>
      <c r="D156" s="61"/>
      <c r="E156" s="61"/>
      <c r="F156" s="61"/>
      <c r="G156" s="61"/>
      <c r="H156" s="61"/>
    </row>
    <row r="157" spans="2:8" x14ac:dyDescent="0.25">
      <c r="B157" s="62" t="s">
        <v>89</v>
      </c>
      <c r="C157" s="63"/>
      <c r="D157" s="63"/>
      <c r="E157" s="63"/>
      <c r="F157" s="63"/>
      <c r="G157" s="64"/>
    </row>
    <row r="158" spans="2:8" x14ac:dyDescent="0.25">
      <c r="B158" s="18" t="s">
        <v>90</v>
      </c>
      <c r="C158" s="19">
        <v>0</v>
      </c>
      <c r="D158" s="19">
        <v>1506</v>
      </c>
      <c r="E158" s="19">
        <v>0</v>
      </c>
      <c r="F158" s="19">
        <f>F146+F154</f>
        <v>893</v>
      </c>
      <c r="G158" s="19">
        <f>SUM(C158:F158)</f>
        <v>2399</v>
      </c>
    </row>
    <row r="159" spans="2:8" x14ac:dyDescent="0.25">
      <c r="B159" s="18" t="s">
        <v>91</v>
      </c>
      <c r="C159" s="19">
        <v>0</v>
      </c>
      <c r="D159" s="19">
        <v>29.646000000000001</v>
      </c>
      <c r="E159" s="19">
        <v>0</v>
      </c>
      <c r="F159" s="19">
        <f>F147+F155</f>
        <v>9.4142499999999991</v>
      </c>
      <c r="G159" s="22">
        <f>SUM(C159:F159)</f>
        <v>39.060249999999996</v>
      </c>
    </row>
    <row r="160" spans="2:8" x14ac:dyDescent="0.25">
      <c r="B160" s="61"/>
      <c r="C160" s="61"/>
      <c r="D160" s="61"/>
      <c r="E160" s="61"/>
      <c r="F160" s="61"/>
      <c r="G160" s="61"/>
      <c r="H160" s="61"/>
    </row>
    <row r="161" spans="2:8" x14ac:dyDescent="0.25">
      <c r="B161" s="60" t="s">
        <v>92</v>
      </c>
      <c r="C161" s="60"/>
      <c r="D161" s="60"/>
      <c r="E161" s="60"/>
      <c r="F161" s="60"/>
      <c r="G161" s="60"/>
    </row>
    <row r="162" spans="2:8" x14ac:dyDescent="0.25">
      <c r="B162" s="14" t="s">
        <v>87</v>
      </c>
      <c r="C162" s="27">
        <v>3006</v>
      </c>
      <c r="D162" s="27">
        <v>50777</v>
      </c>
      <c r="E162" s="27">
        <v>6191</v>
      </c>
      <c r="F162" s="27">
        <v>31409</v>
      </c>
      <c r="G162" s="27">
        <f>SUM(C162:F162)</f>
        <v>91383</v>
      </c>
    </row>
    <row r="163" spans="2:8" x14ac:dyDescent="0.25">
      <c r="B163" s="14" t="s">
        <v>88</v>
      </c>
      <c r="C163" s="27">
        <f>69596924/1000000</f>
        <v>69.596924000000001</v>
      </c>
      <c r="D163" s="27">
        <v>128.09056700000002</v>
      </c>
      <c r="E163" s="27">
        <v>99.384868999999995</v>
      </c>
      <c r="F163" s="27">
        <v>197.4366</v>
      </c>
      <c r="G163" s="11">
        <f>SUM(C163:F163)</f>
        <v>494.50896</v>
      </c>
    </row>
    <row r="164" spans="2:8" x14ac:dyDescent="0.25">
      <c r="B164" s="61"/>
      <c r="C164" s="61"/>
      <c r="D164" s="61"/>
      <c r="E164" s="61"/>
      <c r="F164" s="61"/>
      <c r="G164" s="61"/>
    </row>
    <row r="165" spans="2:8" x14ac:dyDescent="0.25">
      <c r="B165" s="66" t="s">
        <v>93</v>
      </c>
      <c r="C165" s="67"/>
      <c r="D165" s="67"/>
      <c r="E165" s="67"/>
      <c r="F165" s="67"/>
      <c r="G165" s="68"/>
    </row>
    <row r="166" spans="2:8" x14ac:dyDescent="0.25">
      <c r="B166" s="62" t="s">
        <v>94</v>
      </c>
      <c r="C166" s="63"/>
      <c r="D166" s="63"/>
      <c r="E166" s="63"/>
      <c r="F166" s="63"/>
      <c r="G166" s="64"/>
    </row>
    <row r="167" spans="2:8" x14ac:dyDescent="0.25">
      <c r="B167" s="14" t="s">
        <v>95</v>
      </c>
      <c r="C167" s="27">
        <v>603</v>
      </c>
      <c r="D167" s="27">
        <v>3540</v>
      </c>
      <c r="E167" s="27">
        <v>79</v>
      </c>
      <c r="F167" s="27">
        <v>472</v>
      </c>
      <c r="G167" s="27">
        <f>SUM(C167:F167)</f>
        <v>4694</v>
      </c>
    </row>
    <row r="168" spans="2:8" x14ac:dyDescent="0.25">
      <c r="B168" s="14" t="s">
        <v>96</v>
      </c>
      <c r="C168" s="27">
        <f>21105000/1000000</f>
        <v>21.105</v>
      </c>
      <c r="D168" s="27">
        <v>97.115776999999994</v>
      </c>
      <c r="E168" s="27">
        <v>2.6</v>
      </c>
      <c r="F168" s="27">
        <v>17.07</v>
      </c>
      <c r="G168" s="11">
        <f>SUM(C168:F168)</f>
        <v>137.89077699999999</v>
      </c>
    </row>
    <row r="169" spans="2:8" x14ac:dyDescent="0.25">
      <c r="B169" s="61"/>
      <c r="C169" s="61"/>
      <c r="D169" s="61"/>
      <c r="E169" s="61"/>
      <c r="F169" s="61"/>
      <c r="G169" s="61"/>
    </row>
    <row r="170" spans="2:8" x14ac:dyDescent="0.25">
      <c r="B170" s="62" t="s">
        <v>97</v>
      </c>
      <c r="C170" s="63"/>
      <c r="D170" s="63"/>
      <c r="E170" s="63"/>
      <c r="F170" s="63"/>
      <c r="G170" s="64"/>
    </row>
    <row r="171" spans="2:8" x14ac:dyDescent="0.25">
      <c r="B171" s="14" t="s">
        <v>98</v>
      </c>
      <c r="C171" s="27">
        <v>1833</v>
      </c>
      <c r="D171" s="27">
        <v>484</v>
      </c>
      <c r="E171" s="27">
        <v>117</v>
      </c>
      <c r="F171" s="27">
        <v>436</v>
      </c>
      <c r="G171" s="27">
        <f>SUM(C171:F171)</f>
        <v>2870</v>
      </c>
    </row>
    <row r="172" spans="2:8" x14ac:dyDescent="0.25">
      <c r="B172" s="14" t="s">
        <v>96</v>
      </c>
      <c r="C172" s="27">
        <f>64155000/1000000</f>
        <v>64.155000000000001</v>
      </c>
      <c r="D172" s="27">
        <v>10.163</v>
      </c>
      <c r="E172" s="27">
        <v>2.9</v>
      </c>
      <c r="F172" s="27">
        <v>9.593</v>
      </c>
      <c r="G172" s="11">
        <f>SUM(C172:F172)</f>
        <v>86.811000000000007</v>
      </c>
    </row>
    <row r="173" spans="2:8" x14ac:dyDescent="0.25">
      <c r="B173" s="61"/>
      <c r="C173" s="61"/>
      <c r="D173" s="61"/>
      <c r="E173" s="61"/>
      <c r="F173" s="61"/>
      <c r="G173" s="61"/>
      <c r="H173" s="61"/>
    </row>
    <row r="174" spans="2:8" x14ac:dyDescent="0.25">
      <c r="B174" s="62" t="s">
        <v>99</v>
      </c>
      <c r="C174" s="63"/>
      <c r="D174" s="63"/>
      <c r="E174" s="63"/>
      <c r="F174" s="63"/>
      <c r="G174" s="64"/>
    </row>
    <row r="175" spans="2:8" x14ac:dyDescent="0.25">
      <c r="B175" s="14" t="s">
        <v>98</v>
      </c>
      <c r="C175" s="27">
        <v>231</v>
      </c>
      <c r="D175" s="27">
        <v>393</v>
      </c>
      <c r="E175" s="27">
        <v>202</v>
      </c>
      <c r="F175" s="14">
        <v>45</v>
      </c>
      <c r="G175" s="27">
        <f>SUM(C175:F175)</f>
        <v>871</v>
      </c>
    </row>
    <row r="176" spans="2:8" x14ac:dyDescent="0.25">
      <c r="B176" s="14" t="s">
        <v>96</v>
      </c>
      <c r="C176" s="27">
        <f>24290000/1000000</f>
        <v>24.29</v>
      </c>
      <c r="D176" s="27">
        <v>41.35</v>
      </c>
      <c r="E176" s="27">
        <v>11.19</v>
      </c>
      <c r="F176" s="27">
        <v>4.45</v>
      </c>
      <c r="G176" s="11">
        <f>SUM(C176:F176)</f>
        <v>81.28</v>
      </c>
    </row>
    <row r="177" spans="2:8" x14ac:dyDescent="0.25">
      <c r="B177" s="61"/>
      <c r="C177" s="61"/>
      <c r="D177" s="61"/>
      <c r="E177" s="61"/>
      <c r="F177" s="61"/>
      <c r="G177" s="61"/>
      <c r="H177" s="61"/>
    </row>
    <row r="178" spans="2:8" x14ac:dyDescent="0.25">
      <c r="B178" s="62" t="s">
        <v>100</v>
      </c>
      <c r="C178" s="63"/>
      <c r="D178" s="63"/>
      <c r="E178" s="63"/>
      <c r="F178" s="63"/>
      <c r="G178" s="64"/>
    </row>
    <row r="179" spans="2:8" x14ac:dyDescent="0.25">
      <c r="B179" s="14" t="s">
        <v>98</v>
      </c>
      <c r="C179" s="27">
        <v>291</v>
      </c>
      <c r="D179" s="27">
        <v>233087</v>
      </c>
      <c r="E179" s="27">
        <v>0</v>
      </c>
      <c r="F179" s="27">
        <v>0</v>
      </c>
      <c r="G179" s="27">
        <f>SUM(C179:F179)</f>
        <v>233378</v>
      </c>
    </row>
    <row r="180" spans="2:8" x14ac:dyDescent="0.25">
      <c r="B180" s="14" t="s">
        <v>96</v>
      </c>
      <c r="C180" s="27">
        <f>11755000/1000000</f>
        <v>11.755000000000001</v>
      </c>
      <c r="D180" s="27">
        <v>4235.3529471964503</v>
      </c>
      <c r="E180" s="27">
        <v>0</v>
      </c>
      <c r="F180" s="27">
        <v>0</v>
      </c>
      <c r="G180" s="11">
        <f>SUM(C180:F180)</f>
        <v>4247.1079471964504</v>
      </c>
    </row>
    <row r="181" spans="2:8" x14ac:dyDescent="0.25">
      <c r="B181" s="61"/>
      <c r="C181" s="61"/>
      <c r="D181" s="61"/>
      <c r="E181" s="61"/>
      <c r="F181" s="61"/>
      <c r="G181" s="61"/>
      <c r="H181" s="61"/>
    </row>
    <row r="182" spans="2:8" x14ac:dyDescent="0.25">
      <c r="B182" s="60" t="s">
        <v>101</v>
      </c>
      <c r="C182" s="60"/>
      <c r="D182" s="60"/>
      <c r="E182" s="60"/>
      <c r="F182" s="60"/>
      <c r="G182" s="60"/>
    </row>
    <row r="183" spans="2:8" x14ac:dyDescent="0.25">
      <c r="B183" s="18" t="s">
        <v>102</v>
      </c>
      <c r="C183" s="19">
        <f>+C179+C175+C171+C167</f>
        <v>2958</v>
      </c>
      <c r="D183" s="19">
        <v>237504</v>
      </c>
      <c r="E183" s="19">
        <v>398</v>
      </c>
      <c r="F183" s="19">
        <f>+F179+F175+F171+F167</f>
        <v>953</v>
      </c>
      <c r="G183" s="19">
        <f>SUM(C183:F183)</f>
        <v>241813</v>
      </c>
    </row>
    <row r="184" spans="2:8" x14ac:dyDescent="0.25">
      <c r="B184" s="18" t="s">
        <v>103</v>
      </c>
      <c r="C184" s="19">
        <f>+C180+C176+C172+C168</f>
        <v>121.30500000000001</v>
      </c>
      <c r="D184" s="19">
        <v>4383.9817241964502</v>
      </c>
      <c r="E184" s="19">
        <v>16.689999999999998</v>
      </c>
      <c r="F184" s="19">
        <f>+F180+F176+F172+F168</f>
        <v>31.113</v>
      </c>
      <c r="G184" s="22">
        <f>SUM(C184:F184)</f>
        <v>4553.0897241964503</v>
      </c>
    </row>
    <row r="185" spans="2:8" x14ac:dyDescent="0.25">
      <c r="B185" s="61"/>
      <c r="C185" s="61"/>
      <c r="D185" s="61"/>
      <c r="E185" s="61"/>
      <c r="F185" s="61"/>
      <c r="G185" s="61"/>
      <c r="H185" s="61"/>
    </row>
    <row r="186" spans="2:8" x14ac:dyDescent="0.25">
      <c r="B186" s="60" t="s">
        <v>104</v>
      </c>
      <c r="C186" s="60"/>
      <c r="D186" s="60"/>
      <c r="E186" s="60"/>
      <c r="F186" s="60"/>
      <c r="G186" s="60"/>
    </row>
    <row r="187" spans="2:8" x14ac:dyDescent="0.25">
      <c r="B187" s="14" t="s">
        <v>105</v>
      </c>
      <c r="C187" s="27">
        <v>1839</v>
      </c>
      <c r="D187" s="27">
        <v>7094</v>
      </c>
      <c r="E187" s="27">
        <v>66</v>
      </c>
      <c r="F187" s="27">
        <v>33255</v>
      </c>
      <c r="G187" s="27">
        <f>SUM(C187:F187)</f>
        <v>42254</v>
      </c>
    </row>
    <row r="188" spans="2:8" x14ac:dyDescent="0.25">
      <c r="B188" s="14" t="s">
        <v>106</v>
      </c>
      <c r="C188" s="27">
        <f>20336096/1000000</f>
        <v>20.336096000000001</v>
      </c>
      <c r="D188" s="27">
        <v>202.90669400000002</v>
      </c>
      <c r="E188" s="27">
        <v>2.64</v>
      </c>
      <c r="F188" s="27">
        <v>237.98384999999996</v>
      </c>
      <c r="G188" s="11">
        <f>SUM(C188:F188)</f>
        <v>463.86663999999996</v>
      </c>
    </row>
    <row r="189" spans="2:8" x14ac:dyDescent="0.25">
      <c r="B189" s="61"/>
      <c r="C189" s="61"/>
      <c r="D189" s="61"/>
      <c r="E189" s="61"/>
      <c r="F189" s="61"/>
      <c r="G189" s="61"/>
      <c r="H189" s="61"/>
    </row>
    <row r="190" spans="2:8" x14ac:dyDescent="0.25">
      <c r="B190" s="60" t="s">
        <v>107</v>
      </c>
      <c r="C190" s="60"/>
      <c r="D190" s="60"/>
      <c r="E190" s="60"/>
      <c r="F190" s="60"/>
      <c r="G190" s="60"/>
    </row>
    <row r="191" spans="2:8" x14ac:dyDescent="0.25">
      <c r="B191" s="18" t="s">
        <v>108</v>
      </c>
      <c r="C191" s="19">
        <f>C187+C162+C183</f>
        <v>7803</v>
      </c>
      <c r="D191" s="19">
        <v>296881</v>
      </c>
      <c r="E191" s="19">
        <v>6655</v>
      </c>
      <c r="F191" s="19">
        <f>F158+F162+F183+F187</f>
        <v>66510</v>
      </c>
      <c r="G191" s="19">
        <f>SUM(C191:F191)</f>
        <v>377849</v>
      </c>
    </row>
    <row r="192" spans="2:8" x14ac:dyDescent="0.25">
      <c r="B192" s="18" t="s">
        <v>109</v>
      </c>
      <c r="C192" s="19">
        <f>C188+C163+C184</f>
        <v>211.23802000000001</v>
      </c>
      <c r="D192" s="19">
        <v>4744.6249851964503</v>
      </c>
      <c r="E192" s="19">
        <v>118.71486899999999</v>
      </c>
      <c r="F192" s="19">
        <f>F159+F184+F163+F188</f>
        <v>475.94769999999994</v>
      </c>
      <c r="G192" s="22">
        <f>SUM(C192:F192)</f>
        <v>5550.5255741964502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A0078-6B2E-46E0-ABDE-EF3A2651D8FF}">
  <dimension ref="A1:BD196"/>
  <sheetViews>
    <sheetView tabSelected="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1" t="s">
        <v>1</v>
      </c>
      <c r="D2" s="82"/>
      <c r="E2" s="82"/>
      <c r="F2" s="82"/>
      <c r="G2" s="8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0" t="s">
        <v>7</v>
      </c>
      <c r="C4" s="71"/>
      <c r="D4" s="71"/>
      <c r="E4" s="71"/>
      <c r="F4" s="71"/>
      <c r="G4" s="72"/>
    </row>
    <row r="5" spans="1:7" x14ac:dyDescent="0.25">
      <c r="B5" s="66" t="s">
        <v>8</v>
      </c>
      <c r="C5" s="67"/>
      <c r="D5" s="67"/>
      <c r="E5" s="67"/>
      <c r="F5" s="67"/>
      <c r="G5" s="68"/>
    </row>
    <row r="6" spans="1:7" x14ac:dyDescent="0.25">
      <c r="B6" s="4" t="s">
        <v>9</v>
      </c>
      <c r="C6" s="12">
        <v>55155</v>
      </c>
      <c r="D6" s="12">
        <v>8153</v>
      </c>
      <c r="E6" s="12">
        <v>8127</v>
      </c>
      <c r="F6" s="12">
        <v>9811</v>
      </c>
      <c r="G6" s="12">
        <f>+F6+E6+D6+C6</f>
        <v>81246</v>
      </c>
    </row>
    <row r="7" spans="1:7" x14ac:dyDescent="0.25">
      <c r="B7" s="14" t="s">
        <v>10</v>
      </c>
      <c r="C7" s="12">
        <v>553</v>
      </c>
      <c r="D7" s="12">
        <v>250</v>
      </c>
      <c r="E7" s="12">
        <v>24</v>
      </c>
      <c r="F7" s="12">
        <v>143</v>
      </c>
      <c r="G7" s="12">
        <f>+F7+E7+D7+C7</f>
        <v>970</v>
      </c>
    </row>
    <row r="8" spans="1:7" x14ac:dyDescent="0.25">
      <c r="B8" s="18" t="s">
        <v>11</v>
      </c>
      <c r="C8" s="25">
        <f>SUM(C6:C7)</f>
        <v>55708</v>
      </c>
      <c r="D8" s="25">
        <f>+D6+D7</f>
        <v>8403</v>
      </c>
      <c r="E8" s="25">
        <v>8151</v>
      </c>
      <c r="F8" s="25">
        <v>9954</v>
      </c>
      <c r="G8" s="25">
        <f>+F8+E8+D8+C8</f>
        <v>82216</v>
      </c>
    </row>
    <row r="9" spans="1:7" x14ac:dyDescent="0.25">
      <c r="B9" s="61"/>
      <c r="C9" s="61"/>
      <c r="D9" s="61"/>
      <c r="E9" s="61"/>
      <c r="F9" s="61"/>
      <c r="G9" s="61"/>
    </row>
    <row r="10" spans="1:7" x14ac:dyDescent="0.25">
      <c r="B10" s="66" t="s">
        <v>12</v>
      </c>
      <c r="C10" s="67"/>
      <c r="D10" s="67"/>
      <c r="E10" s="67"/>
      <c r="F10" s="67"/>
      <c r="G10" s="68"/>
    </row>
    <row r="11" spans="1:7" x14ac:dyDescent="0.25">
      <c r="B11" s="62" t="s">
        <v>13</v>
      </c>
      <c r="C11" s="63"/>
      <c r="D11" s="63"/>
      <c r="E11" s="63"/>
      <c r="F11" s="63"/>
      <c r="G11" s="64"/>
    </row>
    <row r="12" spans="1:7" x14ac:dyDescent="0.25">
      <c r="B12" s="16" t="s">
        <v>14</v>
      </c>
      <c r="C12" s="17">
        <v>774161</v>
      </c>
      <c r="D12" s="17">
        <v>100902</v>
      </c>
      <c r="E12" s="17">
        <v>41467</v>
      </c>
      <c r="F12" s="17">
        <v>0</v>
      </c>
      <c r="G12" s="17">
        <f>SUM(C12:F12)</f>
        <v>916530</v>
      </c>
    </row>
    <row r="13" spans="1:7" x14ac:dyDescent="0.25">
      <c r="B13" s="16" t="s">
        <v>15</v>
      </c>
      <c r="C13" s="17">
        <v>2550326</v>
      </c>
      <c r="D13" s="17">
        <v>546109</v>
      </c>
      <c r="E13" s="17">
        <v>234866</v>
      </c>
      <c r="F13" s="17">
        <v>0</v>
      </c>
      <c r="G13" s="17">
        <f>SUM(C13:F13)</f>
        <v>3331301</v>
      </c>
    </row>
    <row r="14" spans="1:7" x14ac:dyDescent="0.25">
      <c r="B14" s="18" t="s">
        <v>16</v>
      </c>
      <c r="C14" s="19">
        <f>C13+C12</f>
        <v>3324487</v>
      </c>
      <c r="D14" s="19">
        <v>959018</v>
      </c>
      <c r="E14" s="19">
        <v>276333</v>
      </c>
      <c r="F14" s="19">
        <v>350551</v>
      </c>
      <c r="G14" s="19">
        <f>SUM(C14:F14)</f>
        <v>4910389</v>
      </c>
    </row>
    <row r="15" spans="1:7" x14ac:dyDescent="0.25">
      <c r="B15" s="18" t="s">
        <v>17</v>
      </c>
      <c r="C15" s="19">
        <v>529518</v>
      </c>
      <c r="D15" s="19">
        <v>170056</v>
      </c>
      <c r="E15" s="19">
        <v>3348</v>
      </c>
      <c r="F15" s="19">
        <v>148948</v>
      </c>
      <c r="G15" s="19">
        <f>SUM(C15:F15)</f>
        <v>851870</v>
      </c>
    </row>
    <row r="16" spans="1:7" x14ac:dyDescent="0.25">
      <c r="B16" s="18" t="s">
        <v>18</v>
      </c>
      <c r="C16" s="19">
        <f>C15+C14</f>
        <v>3854005</v>
      </c>
      <c r="D16" s="19">
        <v>1129074</v>
      </c>
      <c r="E16" s="19">
        <v>279681</v>
      </c>
      <c r="F16" s="19">
        <v>499499</v>
      </c>
      <c r="G16" s="19">
        <f>SUM(C16:F16)</f>
        <v>5762259</v>
      </c>
    </row>
    <row r="17" spans="2:8" x14ac:dyDescent="0.25">
      <c r="B17" s="61"/>
      <c r="C17" s="61"/>
      <c r="D17" s="61"/>
      <c r="E17" s="61"/>
      <c r="F17" s="61"/>
      <c r="G17" s="61"/>
    </row>
    <row r="18" spans="2:8" x14ac:dyDescent="0.25">
      <c r="B18" s="62" t="s">
        <v>19</v>
      </c>
      <c r="C18" s="63"/>
      <c r="D18" s="63"/>
      <c r="E18" s="63"/>
      <c r="F18" s="63"/>
      <c r="G18" s="64"/>
    </row>
    <row r="19" spans="2:8" x14ac:dyDescent="0.25">
      <c r="B19" s="14" t="s">
        <v>20</v>
      </c>
      <c r="C19" s="27">
        <v>3473</v>
      </c>
      <c r="D19" s="27">
        <v>4</v>
      </c>
      <c r="E19" s="27">
        <v>0</v>
      </c>
      <c r="F19" s="27">
        <v>0</v>
      </c>
      <c r="G19" s="27">
        <f>SUM(C19:F19)</f>
        <v>3477</v>
      </c>
    </row>
    <row r="20" spans="2:8" x14ac:dyDescent="0.25">
      <c r="B20" s="84"/>
      <c r="C20" s="84"/>
      <c r="D20" s="84"/>
      <c r="E20" s="84"/>
      <c r="F20" s="84"/>
      <c r="G20" s="84"/>
    </row>
    <row r="21" spans="2:8" x14ac:dyDescent="0.25">
      <c r="B21" s="18" t="s">
        <v>21</v>
      </c>
      <c r="C21" s="19">
        <f>+C19+C16</f>
        <v>3857478</v>
      </c>
      <c r="D21" s="19">
        <v>1129078</v>
      </c>
      <c r="E21" s="19">
        <v>279681</v>
      </c>
      <c r="F21" s="19">
        <f>F16</f>
        <v>499499</v>
      </c>
      <c r="G21" s="19">
        <f>SUM(C21:F21)</f>
        <v>5765736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408150</v>
      </c>
      <c r="D24" s="19">
        <v>205340</v>
      </c>
      <c r="E24" s="19">
        <v>150193</v>
      </c>
      <c r="F24" s="19">
        <v>684095</v>
      </c>
      <c r="G24" s="19">
        <f>SUM(C24:F24)</f>
        <v>1447778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4265628</v>
      </c>
      <c r="D27" s="19">
        <f>+D24+D21</f>
        <v>1334418</v>
      </c>
      <c r="E27" s="19">
        <f>+E21+E24</f>
        <v>429874</v>
      </c>
      <c r="F27" s="19">
        <f>+F24+F21</f>
        <v>1183594</v>
      </c>
      <c r="G27" s="19">
        <f>SUM(C27:F27)</f>
        <v>7213514</v>
      </c>
    </row>
    <row r="28" spans="2:8" x14ac:dyDescent="0.25">
      <c r="B28" s="61"/>
      <c r="C28" s="61"/>
      <c r="D28" s="61"/>
      <c r="E28" s="61"/>
      <c r="F28" s="61"/>
      <c r="G28" s="61"/>
      <c r="H28" s="61"/>
    </row>
    <row r="29" spans="2:8" x14ac:dyDescent="0.25">
      <c r="B29" s="66" t="s">
        <v>26</v>
      </c>
      <c r="C29" s="67"/>
      <c r="D29" s="67"/>
      <c r="E29" s="67"/>
      <c r="F29" s="67"/>
      <c r="G29" s="68"/>
    </row>
    <row r="30" spans="2:8" x14ac:dyDescent="0.25">
      <c r="B30" s="14" t="s">
        <v>27</v>
      </c>
      <c r="C30" s="27">
        <v>1272305</v>
      </c>
      <c r="D30" s="27">
        <v>129986</v>
      </c>
      <c r="E30" s="27">
        <v>78987</v>
      </c>
      <c r="F30" s="27">
        <v>207041</v>
      </c>
      <c r="G30" s="27">
        <f>SUM(C30:F30)</f>
        <v>1688319</v>
      </c>
    </row>
    <row r="31" spans="2:8" x14ac:dyDescent="0.25">
      <c r="B31" s="61"/>
      <c r="C31" s="61"/>
      <c r="D31" s="61"/>
      <c r="E31" s="61"/>
      <c r="F31" s="61"/>
      <c r="G31" s="61"/>
      <c r="H31" s="61"/>
    </row>
    <row r="32" spans="2:8" x14ac:dyDescent="0.25">
      <c r="B32" s="66" t="s">
        <v>28</v>
      </c>
      <c r="C32" s="67"/>
      <c r="D32" s="67"/>
      <c r="E32" s="67"/>
      <c r="F32" s="67"/>
      <c r="G32" s="68"/>
    </row>
    <row r="33" spans="2:9" x14ac:dyDescent="0.25">
      <c r="B33" s="14" t="s">
        <v>29</v>
      </c>
      <c r="C33" s="27">
        <v>4112934884939</v>
      </c>
      <c r="D33" s="27">
        <v>769263560318</v>
      </c>
      <c r="E33" s="27">
        <v>277259643067</v>
      </c>
      <c r="F33" s="27">
        <v>474440789590</v>
      </c>
      <c r="G33" s="27">
        <f>SUM(C33:F33)</f>
        <v>5633898877914</v>
      </c>
    </row>
    <row r="34" spans="2:9" x14ac:dyDescent="0.25">
      <c r="B34" s="14" t="s">
        <v>30</v>
      </c>
      <c r="C34" s="27">
        <v>175286261529</v>
      </c>
      <c r="D34" s="27">
        <v>72696977618</v>
      </c>
      <c r="E34" s="27">
        <v>46007717000</v>
      </c>
      <c r="F34" s="27">
        <v>209109503862</v>
      </c>
      <c r="G34" s="27">
        <f>SUM(C34:F34)</f>
        <v>503100460009</v>
      </c>
    </row>
    <row r="35" spans="2:9" x14ac:dyDescent="0.25">
      <c r="B35" s="39" t="s">
        <v>31</v>
      </c>
      <c r="C35" s="40">
        <f>SUM(C33:C34)</f>
        <v>4288221146468</v>
      </c>
      <c r="D35" s="40">
        <f>+D34+D33</f>
        <v>841960537936</v>
      </c>
      <c r="E35" s="40">
        <v>323267360067</v>
      </c>
      <c r="F35" s="40">
        <v>683550293452</v>
      </c>
      <c r="G35" s="40">
        <f>SUM(C35:F35)</f>
        <v>6136999337923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0" t="s">
        <v>33</v>
      </c>
      <c r="C38" s="71"/>
      <c r="D38" s="71"/>
      <c r="E38" s="71"/>
      <c r="F38" s="71"/>
      <c r="G38" s="72"/>
    </row>
    <row r="39" spans="2:9" x14ac:dyDescent="0.25">
      <c r="B39" s="66" t="s">
        <v>34</v>
      </c>
      <c r="C39" s="67"/>
      <c r="D39" s="67"/>
      <c r="E39" s="67"/>
      <c r="F39" s="67"/>
      <c r="G39" s="68"/>
    </row>
    <row r="40" spans="2:9" x14ac:dyDescent="0.25">
      <c r="B40" s="14" t="s">
        <v>35</v>
      </c>
      <c r="C40" s="27">
        <v>772289</v>
      </c>
      <c r="D40" s="27">
        <v>116544</v>
      </c>
      <c r="E40" s="27">
        <v>52064</v>
      </c>
      <c r="F40" s="27">
        <v>72857</v>
      </c>
      <c r="G40" s="27">
        <f>SUM(C40:F40)</f>
        <v>1013754</v>
      </c>
      <c r="H40" s="7"/>
      <c r="I40" s="7"/>
    </row>
    <row r="41" spans="2:9" x14ac:dyDescent="0.25">
      <c r="B41" s="14" t="s">
        <v>36</v>
      </c>
      <c r="C41" s="27">
        <f>5183528815/1000000</f>
        <v>5183.5288149999997</v>
      </c>
      <c r="D41" s="27">
        <v>1302.506887</v>
      </c>
      <c r="E41" s="27">
        <v>560.29999999999995</v>
      </c>
      <c r="F41" s="27">
        <v>748.23556199999996</v>
      </c>
      <c r="G41" s="11">
        <f>SUM(C41:F41)</f>
        <v>7794.5712639999992</v>
      </c>
      <c r="H41" s="7"/>
      <c r="I41" s="7"/>
    </row>
    <row r="42" spans="2:9" x14ac:dyDescent="0.25">
      <c r="B42" s="61"/>
      <c r="C42" s="61"/>
      <c r="D42" s="61"/>
      <c r="E42" s="61"/>
      <c r="F42" s="61"/>
      <c r="G42" s="61"/>
      <c r="H42" s="61"/>
      <c r="I42" s="7"/>
    </row>
    <row r="43" spans="2:9" x14ac:dyDescent="0.25">
      <c r="B43" s="60" t="s">
        <v>37</v>
      </c>
      <c r="C43" s="60"/>
      <c r="D43" s="60"/>
      <c r="E43" s="60"/>
      <c r="F43" s="60"/>
      <c r="G43" s="60"/>
      <c r="I43" s="7"/>
    </row>
    <row r="44" spans="2:9" x14ac:dyDescent="0.25">
      <c r="B44" s="14" t="s">
        <v>38</v>
      </c>
      <c r="C44" s="27">
        <v>6</v>
      </c>
      <c r="D44" s="27">
        <v>1</v>
      </c>
      <c r="E44" s="27">
        <v>0</v>
      </c>
      <c r="F44" s="27">
        <v>0</v>
      </c>
      <c r="G44" s="27">
        <f>SUM(C44:F44)</f>
        <v>7</v>
      </c>
      <c r="H44" s="7"/>
      <c r="I44" s="7"/>
    </row>
    <row r="45" spans="2:9" x14ac:dyDescent="0.25">
      <c r="B45" s="14" t="s">
        <v>39</v>
      </c>
      <c r="C45" s="27">
        <f>4796214/1000000</f>
        <v>4.796214</v>
      </c>
      <c r="D45" s="27">
        <v>8.6689999999999996E-3</v>
      </c>
      <c r="E45" s="27">
        <v>0</v>
      </c>
      <c r="F45" s="27">
        <v>0</v>
      </c>
      <c r="G45" s="11">
        <f>SUM(C45:F45)</f>
        <v>4.8048830000000002</v>
      </c>
      <c r="H45" s="7"/>
      <c r="I45" s="7"/>
    </row>
    <row r="46" spans="2:9" x14ac:dyDescent="0.25">
      <c r="B46" s="61"/>
      <c r="C46" s="61"/>
      <c r="D46" s="61"/>
      <c r="E46" s="61"/>
      <c r="F46" s="61"/>
      <c r="G46" s="61"/>
      <c r="H46" s="61"/>
      <c r="I46" s="7"/>
    </row>
    <row r="47" spans="2:9" x14ac:dyDescent="0.25">
      <c r="B47" s="60" t="s">
        <v>40</v>
      </c>
      <c r="C47" s="60"/>
      <c r="D47" s="60"/>
      <c r="E47" s="60"/>
      <c r="F47" s="60"/>
      <c r="G47" s="60"/>
      <c r="I47" s="7"/>
    </row>
    <row r="48" spans="2:9" x14ac:dyDescent="0.25">
      <c r="B48" s="14" t="s">
        <v>41</v>
      </c>
      <c r="C48" s="27">
        <v>156995</v>
      </c>
      <c r="D48" s="27">
        <v>65042</v>
      </c>
      <c r="E48" s="27">
        <v>12459</v>
      </c>
      <c r="F48" s="27">
        <v>50692</v>
      </c>
      <c r="G48" s="27">
        <f>SUM(C48:F48)</f>
        <v>285188</v>
      </c>
      <c r="H48" s="7"/>
      <c r="I48" s="7"/>
    </row>
    <row r="49" spans="2:9" x14ac:dyDescent="0.25">
      <c r="B49" s="14" t="s">
        <v>42</v>
      </c>
      <c r="C49" s="27">
        <f>(73270458181+1426310894)/1000000</f>
        <v>74696.769075000004</v>
      </c>
      <c r="D49" s="27">
        <v>28383</v>
      </c>
      <c r="E49" s="27">
        <v>12970</v>
      </c>
      <c r="F49" s="27">
        <v>10558.698241</v>
      </c>
      <c r="G49" s="11">
        <f>SUM(C49:F49)</f>
        <v>126608.46731600001</v>
      </c>
      <c r="H49" s="7"/>
      <c r="I49" s="7"/>
    </row>
    <row r="50" spans="2:9" x14ac:dyDescent="0.25">
      <c r="B50" s="61"/>
      <c r="C50" s="61"/>
      <c r="D50" s="61"/>
      <c r="E50" s="61"/>
      <c r="F50" s="61"/>
      <c r="G50" s="61"/>
      <c r="H50" s="61"/>
    </row>
    <row r="51" spans="2:9" ht="21" x14ac:dyDescent="0.35">
      <c r="B51" s="70" t="s">
        <v>43</v>
      </c>
      <c r="C51" s="71"/>
      <c r="D51" s="71"/>
      <c r="E51" s="71"/>
      <c r="F51" s="71"/>
      <c r="G51" s="72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60" t="s">
        <v>44</v>
      </c>
      <c r="C53" s="60"/>
      <c r="D53" s="60"/>
      <c r="E53" s="60"/>
      <c r="F53" s="60"/>
      <c r="G53" s="60"/>
    </row>
    <row r="54" spans="2:9" x14ac:dyDescent="0.25">
      <c r="B54" s="65" t="s">
        <v>45</v>
      </c>
      <c r="C54" s="65"/>
      <c r="D54" s="65"/>
      <c r="E54" s="65"/>
      <c r="F54" s="65"/>
      <c r="G54" s="65"/>
    </row>
    <row r="55" spans="2:9" x14ac:dyDescent="0.25">
      <c r="B55" s="14" t="s">
        <v>46</v>
      </c>
      <c r="C55" s="27">
        <v>94437</v>
      </c>
      <c r="D55" s="27">
        <v>4206</v>
      </c>
      <c r="E55" s="27">
        <v>1414</v>
      </c>
      <c r="F55" s="27">
        <v>3847</v>
      </c>
      <c r="G55" s="27">
        <f t="shared" ref="G55:G71" si="0">SUM(C55:F55)</f>
        <v>103904</v>
      </c>
    </row>
    <row r="56" spans="2:9" x14ac:dyDescent="0.25">
      <c r="B56" s="14" t="s">
        <v>47</v>
      </c>
      <c r="C56" s="27">
        <v>74194.145460999993</v>
      </c>
      <c r="D56" s="27">
        <v>5311.7410299999801</v>
      </c>
      <c r="E56" s="27">
        <v>2186.2052279999998</v>
      </c>
      <c r="F56" s="27">
        <v>9265</v>
      </c>
      <c r="G56" s="27">
        <f t="shared" si="0"/>
        <v>90957.091718999975</v>
      </c>
    </row>
    <row r="57" spans="2:9" x14ac:dyDescent="0.25">
      <c r="B57" s="14" t="s">
        <v>48</v>
      </c>
      <c r="C57" s="27">
        <v>14.957770788991599</v>
      </c>
      <c r="D57" s="27">
        <v>38</v>
      </c>
      <c r="E57" s="27">
        <v>20.917256011315416</v>
      </c>
      <c r="F57" s="27">
        <v>28</v>
      </c>
      <c r="G57" s="27">
        <f>AVERAGE(C57:F57)</f>
        <v>25.468756700076753</v>
      </c>
    </row>
    <row r="58" spans="2:9" x14ac:dyDescent="0.25">
      <c r="B58" s="14" t="s">
        <v>49</v>
      </c>
      <c r="C58" s="27">
        <v>866277</v>
      </c>
      <c r="D58" s="27">
        <v>152174</v>
      </c>
      <c r="E58" s="27">
        <v>53078</v>
      </c>
      <c r="F58" s="27">
        <v>82128</v>
      </c>
      <c r="G58" s="27">
        <f t="shared" si="0"/>
        <v>1153657</v>
      </c>
    </row>
    <row r="59" spans="2:9" x14ac:dyDescent="0.25">
      <c r="B59" s="14" t="s">
        <v>50</v>
      </c>
      <c r="C59" s="27">
        <v>1892946.415152</v>
      </c>
      <c r="D59" s="27">
        <v>271946.349712</v>
      </c>
      <c r="E59" s="27">
        <v>109676.78769700001</v>
      </c>
      <c r="F59" s="27">
        <v>193336</v>
      </c>
      <c r="G59" s="11">
        <f t="shared" si="0"/>
        <v>2467905.552561</v>
      </c>
    </row>
    <row r="60" spans="2:9" x14ac:dyDescent="0.25">
      <c r="B60" s="65" t="s">
        <v>51</v>
      </c>
      <c r="C60" s="65"/>
      <c r="D60" s="65"/>
      <c r="E60" s="65"/>
      <c r="F60" s="65"/>
      <c r="G60" s="65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5" t="s">
        <v>52</v>
      </c>
      <c r="C66" s="65"/>
      <c r="D66" s="65"/>
      <c r="E66" s="65"/>
      <c r="F66" s="65"/>
      <c r="G66" s="65"/>
    </row>
    <row r="67" spans="2:8" x14ac:dyDescent="0.25">
      <c r="B67" s="14" t="s">
        <v>46</v>
      </c>
      <c r="C67" s="27">
        <v>5771</v>
      </c>
      <c r="D67" s="27">
        <v>1954</v>
      </c>
      <c r="E67" s="27">
        <v>1938</v>
      </c>
      <c r="F67" s="27">
        <v>11303</v>
      </c>
      <c r="G67" s="27">
        <f t="shared" si="0"/>
        <v>20966</v>
      </c>
    </row>
    <row r="68" spans="2:8" x14ac:dyDescent="0.25">
      <c r="B68" s="14" t="s">
        <v>47</v>
      </c>
      <c r="C68" s="27">
        <v>4753.389553</v>
      </c>
      <c r="D68" s="27">
        <v>1978.566615</v>
      </c>
      <c r="E68" s="27">
        <v>2175.7183490000002</v>
      </c>
      <c r="F68" s="27">
        <v>14944</v>
      </c>
      <c r="G68" s="27">
        <f t="shared" si="0"/>
        <v>23851.674516999999</v>
      </c>
    </row>
    <row r="69" spans="2:8" x14ac:dyDescent="0.25">
      <c r="B69" s="14" t="s">
        <v>48</v>
      </c>
      <c r="C69" s="27">
        <v>37.953560907988198</v>
      </c>
      <c r="D69" s="27">
        <v>55</v>
      </c>
      <c r="E69" s="27">
        <v>50.275025799793603</v>
      </c>
      <c r="F69" s="27">
        <v>39</v>
      </c>
      <c r="G69" s="27">
        <f>AVERAGE(C69:F69)</f>
        <v>45.55714667694545</v>
      </c>
    </row>
    <row r="70" spans="2:8" x14ac:dyDescent="0.25">
      <c r="B70" s="14" t="s">
        <v>49</v>
      </c>
      <c r="C70" s="27">
        <v>138609</v>
      </c>
      <c r="D70" s="27">
        <v>90023</v>
      </c>
      <c r="E70" s="27">
        <v>69059</v>
      </c>
      <c r="F70" s="27">
        <v>275525</v>
      </c>
      <c r="G70" s="27">
        <f t="shared" si="0"/>
        <v>573216</v>
      </c>
    </row>
    <row r="71" spans="2:8" x14ac:dyDescent="0.25">
      <c r="B71" s="14" t="s">
        <v>50</v>
      </c>
      <c r="C71" s="27">
        <v>146528.93085400001</v>
      </c>
      <c r="D71" s="27">
        <v>107674.960561</v>
      </c>
      <c r="E71" s="27">
        <v>73840.623328000001</v>
      </c>
      <c r="F71" s="27">
        <v>262106</v>
      </c>
      <c r="G71" s="11">
        <f t="shared" si="0"/>
        <v>590150.51474300004</v>
      </c>
    </row>
    <row r="72" spans="2:8" x14ac:dyDescent="0.25">
      <c r="B72" s="74" t="s">
        <v>53</v>
      </c>
      <c r="C72" s="75"/>
      <c r="D72" s="75"/>
      <c r="E72" s="75"/>
      <c r="F72" s="75"/>
      <c r="G72" s="76"/>
    </row>
    <row r="73" spans="2:8" x14ac:dyDescent="0.25">
      <c r="B73" s="18" t="s">
        <v>54</v>
      </c>
      <c r="C73" s="19">
        <f>+C55+C67</f>
        <v>100208</v>
      </c>
      <c r="D73" s="19">
        <f>+D67+D61+D55</f>
        <v>6160</v>
      </c>
      <c r="E73" s="19">
        <v>3352</v>
      </c>
      <c r="F73" s="19">
        <f>+F55+F67</f>
        <v>15150</v>
      </c>
      <c r="G73" s="19">
        <f>SUM(C73:F73)</f>
        <v>124870</v>
      </c>
    </row>
    <row r="74" spans="2:8" x14ac:dyDescent="0.25">
      <c r="B74" s="18" t="s">
        <v>47</v>
      </c>
      <c r="C74" s="19">
        <f>+C56+C68</f>
        <v>78947.535013999994</v>
      </c>
      <c r="D74" s="19">
        <f>+D68+D62+D56</f>
        <v>7290.3076449999799</v>
      </c>
      <c r="E74" s="19">
        <v>4361.9235769999996</v>
      </c>
      <c r="F74" s="19">
        <f>+F56+F68</f>
        <v>24209</v>
      </c>
      <c r="G74" s="22">
        <f>SUM(C74:F74)</f>
        <v>114808.76623599997</v>
      </c>
    </row>
    <row r="75" spans="2:8" x14ac:dyDescent="0.25">
      <c r="B75" s="18" t="s">
        <v>48</v>
      </c>
      <c r="C75" s="19">
        <v>16.282103225291401</v>
      </c>
      <c r="D75" s="19">
        <f>(+D57+D63+D69)/3</f>
        <v>31</v>
      </c>
      <c r="E75" s="19">
        <v>38</v>
      </c>
      <c r="F75" s="19">
        <f>(F57+F69)/2</f>
        <v>33.5</v>
      </c>
      <c r="G75" s="19">
        <f>AVERAGE(C75:F75)</f>
        <v>29.695525806322848</v>
      </c>
    </row>
    <row r="76" spans="2:8" x14ac:dyDescent="0.25">
      <c r="B76" s="18" t="s">
        <v>49</v>
      </c>
      <c r="C76" s="19">
        <f>+C58+C70</f>
        <v>1004886</v>
      </c>
      <c r="D76" s="19">
        <f t="shared" ref="D76" si="1">+D70+D64+D58</f>
        <v>242197</v>
      </c>
      <c r="E76" s="19">
        <v>122137</v>
      </c>
      <c r="F76" s="19">
        <f>+F58+F70</f>
        <v>357653</v>
      </c>
      <c r="G76" s="19">
        <f>SUM(C76:F76)</f>
        <v>1726873</v>
      </c>
    </row>
    <row r="77" spans="2:8" x14ac:dyDescent="0.25">
      <c r="B77" s="18" t="s">
        <v>50</v>
      </c>
      <c r="C77" s="19">
        <f>+C59+C71</f>
        <v>2039475.3460059999</v>
      </c>
      <c r="D77" s="19">
        <f>+D71+D65+D59</f>
        <v>379621.31027299998</v>
      </c>
      <c r="E77" s="19">
        <v>183517.41102500001</v>
      </c>
      <c r="F77" s="19">
        <f>+F59+F71</f>
        <v>455442</v>
      </c>
      <c r="G77" s="22">
        <f>SUM(C77:F77)</f>
        <v>3058056.0673039998</v>
      </c>
    </row>
    <row r="78" spans="2:8" x14ac:dyDescent="0.25">
      <c r="B78" s="61"/>
      <c r="C78" s="61"/>
      <c r="D78" s="61"/>
      <c r="E78" s="61"/>
      <c r="F78" s="61"/>
      <c r="G78" s="61"/>
      <c r="H78" s="61"/>
    </row>
    <row r="79" spans="2:8" x14ac:dyDescent="0.25">
      <c r="B79" s="66" t="s">
        <v>55</v>
      </c>
      <c r="C79" s="67"/>
      <c r="D79" s="67"/>
      <c r="E79" s="67"/>
      <c r="F79" s="67"/>
      <c r="G79" s="68"/>
    </row>
    <row r="80" spans="2:8" x14ac:dyDescent="0.25">
      <c r="B80" s="62" t="s">
        <v>45</v>
      </c>
      <c r="C80" s="63"/>
      <c r="D80" s="63"/>
      <c r="E80" s="63"/>
      <c r="F80" s="63"/>
      <c r="G80" s="64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982</v>
      </c>
      <c r="D84" s="24">
        <v>113</v>
      </c>
      <c r="E84" s="24">
        <v>6</v>
      </c>
      <c r="F84" s="24">
        <v>91</v>
      </c>
      <c r="G84" s="24">
        <f>SUM(C84:F84)</f>
        <v>1192</v>
      </c>
    </row>
    <row r="85" spans="2:7" x14ac:dyDescent="0.25">
      <c r="B85" s="14" t="s">
        <v>50</v>
      </c>
      <c r="C85" s="24">
        <v>21183.543213000001</v>
      </c>
      <c r="D85" s="24">
        <v>1431</v>
      </c>
      <c r="E85" s="24">
        <v>76</v>
      </c>
      <c r="F85" s="24">
        <v>1684.2907259999999</v>
      </c>
      <c r="G85" s="11">
        <f>SUM(C85:F85)</f>
        <v>24374.833939</v>
      </c>
    </row>
    <row r="86" spans="2:7" x14ac:dyDescent="0.25">
      <c r="B86" s="62" t="s">
        <v>51</v>
      </c>
      <c r="C86" s="63"/>
      <c r="D86" s="63"/>
      <c r="E86" s="63"/>
      <c r="F86" s="63"/>
      <c r="G86" s="6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2" t="s">
        <v>52</v>
      </c>
      <c r="C92" s="63"/>
      <c r="D92" s="63"/>
      <c r="E92" s="63"/>
      <c r="F92" s="63"/>
      <c r="G92" s="6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171.71450200000001</v>
      </c>
      <c r="D97" s="27">
        <v>0</v>
      </c>
      <c r="E97" s="27">
        <v>0</v>
      </c>
      <c r="F97" s="27">
        <v>76.936276000000007</v>
      </c>
      <c r="G97" s="11">
        <f>SUM(C97:F97)</f>
        <v>248.650778</v>
      </c>
    </row>
    <row r="98" spans="2:8" x14ac:dyDescent="0.25">
      <c r="B98" s="74" t="s">
        <v>56</v>
      </c>
      <c r="C98" s="75"/>
      <c r="D98" s="75"/>
      <c r="E98" s="75"/>
      <c r="F98" s="75"/>
      <c r="G98" s="76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992</v>
      </c>
      <c r="D102" s="19">
        <v>113</v>
      </c>
      <c r="E102" s="19">
        <f>+E84</f>
        <v>6</v>
      </c>
      <c r="F102" s="19">
        <f>+F96+F84</f>
        <v>97</v>
      </c>
      <c r="G102" s="19">
        <f>SUM(C102:F102)</f>
        <v>1208</v>
      </c>
    </row>
    <row r="103" spans="2:8" x14ac:dyDescent="0.25">
      <c r="B103" s="18" t="s">
        <v>50</v>
      </c>
      <c r="C103" s="19">
        <f>+C97+C85</f>
        <v>21355.257715</v>
      </c>
      <c r="D103" s="19">
        <v>1431</v>
      </c>
      <c r="E103" s="19">
        <f>+E85</f>
        <v>76</v>
      </c>
      <c r="F103" s="19">
        <f>+F85+F97</f>
        <v>1761.2270019999999</v>
      </c>
      <c r="G103" s="22">
        <f>SUM(C103:F103)</f>
        <v>24623.484716999999</v>
      </c>
    </row>
    <row r="104" spans="2:8" x14ac:dyDescent="0.25">
      <c r="B104" s="61"/>
      <c r="C104" s="61"/>
      <c r="D104" s="61"/>
      <c r="E104" s="61"/>
      <c r="F104" s="61"/>
      <c r="G104" s="61"/>
      <c r="H104" s="61"/>
    </row>
    <row r="105" spans="2:8" x14ac:dyDescent="0.25">
      <c r="B105" s="60" t="s">
        <v>57</v>
      </c>
      <c r="C105" s="60"/>
      <c r="D105" s="60"/>
      <c r="E105" s="60"/>
      <c r="F105" s="60"/>
      <c r="G105" s="60"/>
    </row>
    <row r="106" spans="2:8" x14ac:dyDescent="0.25">
      <c r="B106" s="65" t="s">
        <v>58</v>
      </c>
      <c r="C106" s="65"/>
      <c r="D106" s="65"/>
      <c r="E106" s="65"/>
      <c r="F106" s="65"/>
      <c r="G106" s="65"/>
    </row>
    <row r="107" spans="2:8" x14ac:dyDescent="0.25">
      <c r="B107" s="14" t="s">
        <v>59</v>
      </c>
      <c r="C107" s="13">
        <v>2.8279154949307475</v>
      </c>
      <c r="D107" s="13">
        <v>2.5499999999999998</v>
      </c>
      <c r="E107" s="85">
        <v>2.717566371681416</v>
      </c>
      <c r="F107" s="13">
        <v>2.54</v>
      </c>
      <c r="G107" s="13">
        <f>AVERAGE(C107:F107)</f>
        <v>2.6588704666530409</v>
      </c>
    </row>
    <row r="108" spans="2:8" x14ac:dyDescent="0.25">
      <c r="B108" s="14" t="s">
        <v>60</v>
      </c>
      <c r="C108" s="13">
        <v>2.242638278527135</v>
      </c>
      <c r="D108" s="13">
        <v>2.59</v>
      </c>
      <c r="E108" s="85">
        <v>2.5472842639593911</v>
      </c>
      <c r="F108" s="13">
        <v>2.58</v>
      </c>
      <c r="G108" s="13">
        <f>AVERAGE(C108:F108)</f>
        <v>2.4899806356216314</v>
      </c>
    </row>
    <row r="109" spans="2:8" x14ac:dyDescent="0.25">
      <c r="B109" s="14" t="s">
        <v>61</v>
      </c>
      <c r="C109" s="13">
        <v>2.0343196252295153</v>
      </c>
      <c r="D109" s="13">
        <v>2.59</v>
      </c>
      <c r="E109" s="85">
        <v>2.3130000000000002</v>
      </c>
      <c r="F109" s="13">
        <v>2.58</v>
      </c>
      <c r="G109" s="13">
        <f>AVERAGE(C109:F109)</f>
        <v>2.3793299063073787</v>
      </c>
    </row>
    <row r="110" spans="2:8" x14ac:dyDescent="0.25">
      <c r="B110" s="65" t="s">
        <v>62</v>
      </c>
      <c r="C110" s="65"/>
      <c r="D110" s="65"/>
      <c r="E110" s="65"/>
      <c r="F110" s="65"/>
      <c r="G110" s="65"/>
    </row>
    <row r="111" spans="2:8" x14ac:dyDescent="0.25">
      <c r="B111" s="14" t="s">
        <v>59</v>
      </c>
      <c r="C111" s="13">
        <v>2</v>
      </c>
      <c r="D111" s="13">
        <v>1.95</v>
      </c>
      <c r="E111" s="85">
        <v>1.214</v>
      </c>
      <c r="F111" s="13">
        <v>1.8</v>
      </c>
      <c r="G111" s="13">
        <f>AVERAGE(C111:F111)</f>
        <v>1.7409999999999999</v>
      </c>
    </row>
    <row r="112" spans="2:8" x14ac:dyDescent="0.25">
      <c r="B112" s="14" t="s">
        <v>60</v>
      </c>
      <c r="C112" s="13">
        <v>1.99</v>
      </c>
      <c r="D112" s="13">
        <v>2.14</v>
      </c>
      <c r="E112" s="85">
        <v>1.9577777777777776</v>
      </c>
      <c r="F112" s="13">
        <v>2.13</v>
      </c>
      <c r="G112" s="13">
        <f>AVERAGE(C112:F112)</f>
        <v>2.0544444444444441</v>
      </c>
    </row>
    <row r="113" spans="2:9" x14ac:dyDescent="0.25">
      <c r="B113" s="14" t="s">
        <v>61</v>
      </c>
      <c r="C113" s="13">
        <v>1.9882224645583462</v>
      </c>
      <c r="D113" s="13">
        <v>2.14</v>
      </c>
      <c r="E113" s="85">
        <v>1.5766666666666667</v>
      </c>
      <c r="F113" s="13">
        <v>2.13</v>
      </c>
      <c r="G113" s="13">
        <f>AVERAGE(C113:F113)</f>
        <v>1.9587222828062532</v>
      </c>
    </row>
    <row r="114" spans="2:9" x14ac:dyDescent="0.25">
      <c r="B114" s="61"/>
      <c r="C114" s="61"/>
      <c r="D114" s="61"/>
      <c r="E114" s="61"/>
      <c r="F114" s="61"/>
      <c r="G114" s="61"/>
      <c r="H114" s="61"/>
      <c r="I114" s="61"/>
    </row>
    <row r="115" spans="2:9" x14ac:dyDescent="0.25">
      <c r="B115" s="65" t="s">
        <v>63</v>
      </c>
      <c r="C115" s="65"/>
      <c r="D115" s="65"/>
      <c r="E115" s="65"/>
      <c r="F115" s="65"/>
      <c r="G115" s="65"/>
    </row>
    <row r="116" spans="2:9" x14ac:dyDescent="0.25">
      <c r="B116" s="14" t="s">
        <v>59</v>
      </c>
      <c r="C116" s="13">
        <v>1.49157720344599</v>
      </c>
      <c r="D116" s="13">
        <v>1.79</v>
      </c>
      <c r="E116" s="59">
        <v>2.031219512195122</v>
      </c>
      <c r="F116" s="13">
        <v>1.78</v>
      </c>
      <c r="G116" s="13">
        <f>AVERAGE(C116:F116)</f>
        <v>1.7731991789102781</v>
      </c>
    </row>
    <row r="117" spans="2:9" x14ac:dyDescent="0.25">
      <c r="B117" s="14" t="s">
        <v>60</v>
      </c>
      <c r="C117" s="13">
        <v>1.7561593172119778</v>
      </c>
      <c r="D117" s="13">
        <v>1.79</v>
      </c>
      <c r="E117" s="59">
        <v>2.0076422764227639</v>
      </c>
      <c r="F117" s="13">
        <v>1.78</v>
      </c>
      <c r="G117" s="13">
        <f>AVERAGE(C117:F117)</f>
        <v>1.8334503984086854</v>
      </c>
    </row>
    <row r="118" spans="2:9" x14ac:dyDescent="0.25">
      <c r="B118" s="14" t="s">
        <v>61</v>
      </c>
      <c r="C118" s="13">
        <v>1.7161240721102811</v>
      </c>
      <c r="D118" s="13">
        <v>1.74</v>
      </c>
      <c r="E118" s="59">
        <v>2.0082874015748033</v>
      </c>
      <c r="F118" s="13">
        <v>1.74</v>
      </c>
      <c r="G118" s="13">
        <f>AVERAGE(C118:F118)</f>
        <v>1.8011028684212711</v>
      </c>
    </row>
    <row r="119" spans="2:9" x14ac:dyDescent="0.25">
      <c r="B119" s="62" t="s">
        <v>64</v>
      </c>
      <c r="C119" s="63"/>
      <c r="D119" s="63"/>
      <c r="E119" s="63"/>
      <c r="F119" s="63"/>
      <c r="G119" s="64"/>
    </row>
    <row r="120" spans="2:9" x14ac:dyDescent="0.25">
      <c r="B120" s="14" t="s">
        <v>59</v>
      </c>
      <c r="C120" s="13"/>
      <c r="D120" s="13">
        <v>1.43</v>
      </c>
      <c r="E120" s="59">
        <v>0</v>
      </c>
      <c r="F120" s="13">
        <v>1.2</v>
      </c>
      <c r="G120" s="13">
        <f>AVERAGE(C120:F120)</f>
        <v>0.87666666666666659</v>
      </c>
    </row>
    <row r="121" spans="2:9" x14ac:dyDescent="0.25">
      <c r="B121" s="14" t="s">
        <v>60</v>
      </c>
      <c r="C121" s="13">
        <v>1.34</v>
      </c>
      <c r="D121" s="13">
        <v>1.43</v>
      </c>
      <c r="E121" s="59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59">
        <v>1.43</v>
      </c>
      <c r="F122" s="13">
        <v>1.43</v>
      </c>
      <c r="G122" s="13">
        <f>AVERAGE(C122:F122)</f>
        <v>1.43</v>
      </c>
    </row>
    <row r="123" spans="2:9" x14ac:dyDescent="0.25">
      <c r="B123" s="61"/>
      <c r="C123" s="61"/>
      <c r="D123" s="61"/>
      <c r="E123" s="61"/>
      <c r="F123" s="61"/>
      <c r="G123" s="61"/>
      <c r="H123" s="61"/>
    </row>
    <row r="124" spans="2:9" x14ac:dyDescent="0.25">
      <c r="B124" s="66" t="s">
        <v>65</v>
      </c>
      <c r="C124" s="67"/>
      <c r="D124" s="67"/>
      <c r="E124" s="67"/>
      <c r="F124" s="67"/>
      <c r="G124" s="68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6" t="s">
        <v>67</v>
      </c>
      <c r="C126" s="67"/>
      <c r="D126" s="67"/>
      <c r="E126" s="67"/>
      <c r="F126" s="67"/>
      <c r="G126" s="68"/>
    </row>
    <row r="127" spans="2:9" x14ac:dyDescent="0.25">
      <c r="B127" s="3" t="s">
        <v>68</v>
      </c>
      <c r="C127" s="11">
        <v>2</v>
      </c>
      <c r="D127" s="11">
        <v>2.099383</v>
      </c>
      <c r="E127" s="11">
        <v>2.3072648042363935</v>
      </c>
      <c r="F127" s="11">
        <v>0</v>
      </c>
      <c r="G127" s="11">
        <f>AVERAGE(C127:E127)</f>
        <v>2.1355492680787975</v>
      </c>
    </row>
    <row r="128" spans="2:9" x14ac:dyDescent="0.25">
      <c r="B128" s="73"/>
      <c r="C128" s="73"/>
      <c r="D128" s="73"/>
      <c r="E128" s="73"/>
      <c r="F128" s="73"/>
      <c r="G128" s="73"/>
      <c r="H128" s="73"/>
    </row>
    <row r="129" spans="2:9" x14ac:dyDescent="0.25">
      <c r="B129" s="60" t="s">
        <v>69</v>
      </c>
      <c r="C129" s="60"/>
      <c r="D129" s="60"/>
      <c r="E129" s="60"/>
      <c r="F129" s="60"/>
      <c r="G129" s="60"/>
    </row>
    <row r="130" spans="2:9" x14ac:dyDescent="0.25">
      <c r="B130" s="14" t="s">
        <v>70</v>
      </c>
      <c r="C130" s="27">
        <v>238287</v>
      </c>
      <c r="D130" s="27">
        <v>3447</v>
      </c>
      <c r="E130" s="27">
        <v>8110</v>
      </c>
      <c r="F130" s="27">
        <v>766</v>
      </c>
      <c r="G130" s="27">
        <f>SUM(C130:F130)</f>
        <v>250610</v>
      </c>
    </row>
    <row r="131" spans="2:9" x14ac:dyDescent="0.25">
      <c r="B131" s="14" t="s">
        <v>71</v>
      </c>
      <c r="C131" s="27">
        <v>160504.70745799999</v>
      </c>
      <c r="D131" s="27">
        <v>3937</v>
      </c>
      <c r="E131" s="27">
        <v>991251</v>
      </c>
      <c r="F131" s="27">
        <v>793.28184799999997</v>
      </c>
      <c r="G131" s="11">
        <f>SUM(C131:F131)</f>
        <v>1156485.9893059998</v>
      </c>
    </row>
    <row r="132" spans="2:9" x14ac:dyDescent="0.25">
      <c r="B132" s="61"/>
      <c r="C132" s="61"/>
      <c r="D132" s="61"/>
      <c r="E132" s="61"/>
      <c r="F132" s="61"/>
      <c r="G132" s="61"/>
      <c r="H132" s="61"/>
    </row>
    <row r="133" spans="2:9" x14ac:dyDescent="0.25">
      <c r="B133" s="60" t="s">
        <v>72</v>
      </c>
      <c r="C133" s="60"/>
      <c r="D133" s="60"/>
      <c r="E133" s="60"/>
      <c r="F133" s="60"/>
      <c r="G133" s="60"/>
    </row>
    <row r="134" spans="2:9" x14ac:dyDescent="0.25">
      <c r="B134" s="14" t="s">
        <v>73</v>
      </c>
      <c r="C134" s="27">
        <v>832666</v>
      </c>
      <c r="D134" s="27">
        <v>394721</v>
      </c>
      <c r="E134" s="27">
        <v>143409</v>
      </c>
      <c r="F134" s="27">
        <v>290470</v>
      </c>
      <c r="G134" s="27">
        <f>SUM(C134:F134)</f>
        <v>1661266</v>
      </c>
    </row>
    <row r="135" spans="2:9" x14ac:dyDescent="0.25">
      <c r="B135" s="61"/>
      <c r="C135" s="61"/>
      <c r="D135" s="61"/>
      <c r="E135" s="61"/>
      <c r="F135" s="61"/>
      <c r="G135" s="61"/>
      <c r="H135" s="61"/>
    </row>
    <row r="136" spans="2:9" ht="21" x14ac:dyDescent="0.35">
      <c r="B136" s="69" t="s">
        <v>74</v>
      </c>
      <c r="C136" s="69"/>
      <c r="D136" s="69"/>
      <c r="E136" s="69"/>
      <c r="F136" s="69"/>
      <c r="G136" s="69"/>
    </row>
    <row r="137" spans="2:9" x14ac:dyDescent="0.25">
      <c r="B137" s="60" t="s">
        <v>75</v>
      </c>
      <c r="C137" s="60"/>
      <c r="D137" s="60"/>
      <c r="E137" s="60"/>
      <c r="F137" s="60"/>
      <c r="G137" s="60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14873</v>
      </c>
      <c r="G138" s="27">
        <f>SUM(C138:F138)</f>
        <v>14873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221</v>
      </c>
      <c r="G139" s="27">
        <f>SUM(C139:F139)</f>
        <v>221</v>
      </c>
      <c r="H139" s="7"/>
      <c r="I139" s="7"/>
    </row>
    <row r="140" spans="2:9" x14ac:dyDescent="0.25">
      <c r="B140" s="61"/>
      <c r="C140" s="61"/>
      <c r="D140" s="61"/>
      <c r="E140" s="61"/>
      <c r="F140" s="61"/>
      <c r="G140" s="61"/>
      <c r="H140" s="61"/>
      <c r="I140" s="7"/>
    </row>
    <row r="141" spans="2:9" x14ac:dyDescent="0.25">
      <c r="B141" s="61"/>
      <c r="C141" s="61"/>
      <c r="D141" s="61"/>
      <c r="E141" s="61"/>
      <c r="F141" s="61"/>
      <c r="G141" s="61"/>
      <c r="H141" s="61"/>
    </row>
    <row r="142" spans="2:9" ht="21" x14ac:dyDescent="0.35">
      <c r="B142" s="70" t="s">
        <v>78</v>
      </c>
      <c r="C142" s="71"/>
      <c r="D142" s="71"/>
      <c r="E142" s="71"/>
      <c r="F142" s="71"/>
      <c r="G142" s="72"/>
    </row>
    <row r="143" spans="2:9" x14ac:dyDescent="0.25">
      <c r="B143" s="66" t="s">
        <v>79</v>
      </c>
      <c r="C143" s="67"/>
      <c r="D143" s="67"/>
      <c r="E143" s="67"/>
      <c r="F143" s="67"/>
      <c r="G143" s="68"/>
    </row>
    <row r="144" spans="2:9" x14ac:dyDescent="0.25">
      <c r="B144" s="61"/>
      <c r="C144" s="61"/>
      <c r="D144" s="61"/>
      <c r="E144" s="61"/>
      <c r="F144" s="61"/>
      <c r="G144" s="61"/>
      <c r="H144" s="61"/>
    </row>
    <row r="145" spans="2:8" x14ac:dyDescent="0.25">
      <c r="B145" s="65" t="s">
        <v>80</v>
      </c>
      <c r="C145" s="65"/>
      <c r="D145" s="65"/>
      <c r="E145" s="65"/>
      <c r="F145" s="65"/>
      <c r="G145" s="65"/>
    </row>
    <row r="146" spans="2:8" x14ac:dyDescent="0.25">
      <c r="B146" s="14" t="s">
        <v>81</v>
      </c>
      <c r="C146" s="27">
        <v>0</v>
      </c>
      <c r="D146" s="27">
        <v>707</v>
      </c>
      <c r="E146" s="27">
        <v>0</v>
      </c>
      <c r="F146" s="1">
        <v>631</v>
      </c>
      <c r="G146" s="27">
        <f>SUM(C146:F146)</f>
        <v>1338</v>
      </c>
    </row>
    <row r="147" spans="2:8" x14ac:dyDescent="0.25">
      <c r="B147" s="14" t="s">
        <v>82</v>
      </c>
      <c r="C147" s="27">
        <v>0</v>
      </c>
      <c r="D147" s="27">
        <v>15.504</v>
      </c>
      <c r="E147" s="27">
        <v>0</v>
      </c>
      <c r="F147" s="29">
        <v>6.5577500000000004</v>
      </c>
      <c r="G147" s="11">
        <f>SUM(C147:F147)</f>
        <v>22.06175</v>
      </c>
    </row>
    <row r="148" spans="2:8" x14ac:dyDescent="0.25">
      <c r="B148" s="61"/>
      <c r="C148" s="61"/>
      <c r="D148" s="61"/>
      <c r="E148" s="61"/>
      <c r="F148" s="61"/>
      <c r="G148" s="61"/>
      <c r="H148" s="61"/>
    </row>
    <row r="149" spans="2:8" x14ac:dyDescent="0.25">
      <c r="B149" s="65" t="s">
        <v>83</v>
      </c>
      <c r="C149" s="65"/>
      <c r="D149" s="65"/>
      <c r="E149" s="65"/>
      <c r="F149" s="65"/>
      <c r="G149" s="65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1"/>
      <c r="C152" s="61"/>
      <c r="D152" s="61"/>
      <c r="E152" s="61"/>
      <c r="F152" s="61"/>
      <c r="G152" s="61"/>
      <c r="H152" s="61"/>
    </row>
    <row r="153" spans="2:8" x14ac:dyDescent="0.25">
      <c r="B153" s="65" t="s">
        <v>86</v>
      </c>
      <c r="C153" s="65"/>
      <c r="D153" s="65"/>
      <c r="E153" s="65"/>
      <c r="F153" s="65"/>
      <c r="G153" s="65"/>
    </row>
    <row r="154" spans="2:8" x14ac:dyDescent="0.25">
      <c r="B154" s="14" t="s">
        <v>87</v>
      </c>
      <c r="C154" s="27">
        <v>0</v>
      </c>
      <c r="D154" s="27">
        <v>168</v>
      </c>
      <c r="E154" s="27">
        <v>21</v>
      </c>
      <c r="F154" s="27">
        <v>0</v>
      </c>
      <c r="G154" s="27">
        <f>SUM(C154:F154)</f>
        <v>189</v>
      </c>
      <c r="H154"/>
    </row>
    <row r="155" spans="2:8" x14ac:dyDescent="0.25">
      <c r="B155" s="14" t="s">
        <v>88</v>
      </c>
      <c r="C155" s="27">
        <v>0</v>
      </c>
      <c r="D155" s="27">
        <v>2.15</v>
      </c>
      <c r="E155" s="27">
        <v>1</v>
      </c>
      <c r="F155" s="27">
        <v>0</v>
      </c>
      <c r="G155" s="11">
        <f>SUM(C155:F155)</f>
        <v>3.15</v>
      </c>
      <c r="H155"/>
    </row>
    <row r="156" spans="2:8" x14ac:dyDescent="0.25">
      <c r="B156" s="61"/>
      <c r="C156" s="61"/>
      <c r="D156" s="61"/>
      <c r="E156" s="61"/>
      <c r="F156" s="61"/>
      <c r="G156" s="61"/>
      <c r="H156" s="61"/>
    </row>
    <row r="157" spans="2:8" x14ac:dyDescent="0.25">
      <c r="B157" s="62" t="s">
        <v>89</v>
      </c>
      <c r="C157" s="63"/>
      <c r="D157" s="63"/>
      <c r="E157" s="63"/>
      <c r="F157" s="63"/>
      <c r="G157" s="64"/>
    </row>
    <row r="158" spans="2:8" x14ac:dyDescent="0.25">
      <c r="B158" s="18" t="s">
        <v>90</v>
      </c>
      <c r="C158" s="19">
        <v>0</v>
      </c>
      <c r="D158" s="19">
        <v>875</v>
      </c>
      <c r="E158" s="19">
        <v>21</v>
      </c>
      <c r="F158" s="19">
        <f>F146+F154</f>
        <v>631</v>
      </c>
      <c r="G158" s="19">
        <f>SUM(C158:F158)</f>
        <v>1527</v>
      </c>
    </row>
    <row r="159" spans="2:8" x14ac:dyDescent="0.25">
      <c r="B159" s="18" t="s">
        <v>91</v>
      </c>
      <c r="C159" s="19">
        <v>0</v>
      </c>
      <c r="D159" s="19">
        <v>17.654</v>
      </c>
      <c r="E159" s="19">
        <v>1</v>
      </c>
      <c r="F159" s="19">
        <f>F147+F155</f>
        <v>6.5577500000000004</v>
      </c>
      <c r="G159" s="22">
        <f>SUM(C159:F159)</f>
        <v>25.211750000000002</v>
      </c>
    </row>
    <row r="160" spans="2:8" x14ac:dyDescent="0.25">
      <c r="B160" s="61"/>
      <c r="C160" s="61"/>
      <c r="D160" s="61"/>
      <c r="E160" s="61"/>
      <c r="F160" s="61"/>
      <c r="G160" s="61"/>
      <c r="H160" s="61"/>
    </row>
    <row r="161" spans="2:8" x14ac:dyDescent="0.25">
      <c r="B161" s="60" t="s">
        <v>92</v>
      </c>
      <c r="C161" s="60"/>
      <c r="D161" s="60"/>
      <c r="E161" s="60"/>
      <c r="F161" s="60"/>
      <c r="G161" s="60"/>
    </row>
    <row r="162" spans="2:8" x14ac:dyDescent="0.25">
      <c r="B162" s="14" t="s">
        <v>87</v>
      </c>
      <c r="C162" s="27">
        <v>2601</v>
      </c>
      <c r="D162" s="27">
        <v>39641</v>
      </c>
      <c r="E162" s="27">
        <v>6762</v>
      </c>
      <c r="F162" s="27">
        <v>25306</v>
      </c>
      <c r="G162" s="27">
        <f>SUM(C162:F162)</f>
        <v>74310</v>
      </c>
    </row>
    <row r="163" spans="2:8" x14ac:dyDescent="0.25">
      <c r="B163" s="14" t="s">
        <v>88</v>
      </c>
      <c r="C163" s="27">
        <f>62744555/1000000</f>
        <v>62.744554999999998</v>
      </c>
      <c r="D163" s="27">
        <v>104.82414800000001</v>
      </c>
      <c r="E163" s="27">
        <v>110.2</v>
      </c>
      <c r="F163" s="27">
        <v>158.701223</v>
      </c>
      <c r="G163" s="11">
        <f>SUM(C163:F163)</f>
        <v>436.46992599999999</v>
      </c>
    </row>
    <row r="164" spans="2:8" x14ac:dyDescent="0.25">
      <c r="B164" s="61"/>
      <c r="C164" s="61"/>
      <c r="D164" s="61"/>
      <c r="E164" s="61"/>
      <c r="F164" s="61"/>
      <c r="G164" s="61"/>
    </row>
    <row r="165" spans="2:8" x14ac:dyDescent="0.25">
      <c r="B165" s="66" t="s">
        <v>93</v>
      </c>
      <c r="C165" s="67"/>
      <c r="D165" s="67"/>
      <c r="E165" s="67"/>
      <c r="F165" s="67"/>
      <c r="G165" s="68"/>
    </row>
    <row r="166" spans="2:8" x14ac:dyDescent="0.25">
      <c r="B166" s="62" t="s">
        <v>94</v>
      </c>
      <c r="C166" s="63"/>
      <c r="D166" s="63"/>
      <c r="E166" s="63"/>
      <c r="F166" s="63"/>
      <c r="G166" s="64"/>
    </row>
    <row r="167" spans="2:8" x14ac:dyDescent="0.25">
      <c r="B167" s="14" t="s">
        <v>95</v>
      </c>
      <c r="C167" s="27">
        <v>535</v>
      </c>
      <c r="D167" s="27">
        <v>3629</v>
      </c>
      <c r="E167" s="27">
        <v>88</v>
      </c>
      <c r="F167" s="27">
        <v>469</v>
      </c>
      <c r="G167" s="27">
        <f>SUM(C167:F167)</f>
        <v>4721</v>
      </c>
    </row>
    <row r="168" spans="2:8" x14ac:dyDescent="0.25">
      <c r="B168" s="14" t="s">
        <v>96</v>
      </c>
      <c r="C168" s="27">
        <f>18725000/1000000</f>
        <v>18.725000000000001</v>
      </c>
      <c r="D168" s="27">
        <v>91.406486000000001</v>
      </c>
      <c r="E168" s="27">
        <v>3.4</v>
      </c>
      <c r="F168" s="27">
        <v>16.920000000000002</v>
      </c>
      <c r="G168" s="11">
        <f>SUM(C168:F168)</f>
        <v>130.45148599999999</v>
      </c>
    </row>
    <row r="169" spans="2:8" x14ac:dyDescent="0.25">
      <c r="B169" s="61"/>
      <c r="C169" s="61"/>
      <c r="D169" s="61"/>
      <c r="E169" s="61"/>
      <c r="F169" s="61"/>
      <c r="G169" s="61"/>
    </row>
    <row r="170" spans="2:8" x14ac:dyDescent="0.25">
      <c r="B170" s="62" t="s">
        <v>97</v>
      </c>
      <c r="C170" s="63"/>
      <c r="D170" s="63"/>
      <c r="E170" s="63"/>
      <c r="F170" s="63"/>
      <c r="G170" s="64"/>
    </row>
    <row r="171" spans="2:8" x14ac:dyDescent="0.25">
      <c r="B171" s="14" t="s">
        <v>98</v>
      </c>
      <c r="C171" s="27">
        <v>1838</v>
      </c>
      <c r="D171" s="27">
        <v>426</v>
      </c>
      <c r="E171" s="27">
        <v>116</v>
      </c>
      <c r="F171" s="27">
        <v>389</v>
      </c>
      <c r="G171" s="27">
        <f>SUM(C171:F171)</f>
        <v>2769</v>
      </c>
    </row>
    <row r="172" spans="2:8" x14ac:dyDescent="0.25">
      <c r="B172" s="14" t="s">
        <v>96</v>
      </c>
      <c r="C172" s="27">
        <f>64330000/1000000</f>
        <v>64.33</v>
      </c>
      <c r="D172" s="27">
        <v>8.9459999999999997</v>
      </c>
      <c r="E172" s="27">
        <v>2.9</v>
      </c>
      <c r="F172" s="27">
        <v>8.5020000000000007</v>
      </c>
      <c r="G172" s="11">
        <f>SUM(C172:F172)</f>
        <v>84.677999999999997</v>
      </c>
    </row>
    <row r="173" spans="2:8" x14ac:dyDescent="0.25">
      <c r="B173" s="61"/>
      <c r="C173" s="61"/>
      <c r="D173" s="61"/>
      <c r="E173" s="61"/>
      <c r="F173" s="61"/>
      <c r="G173" s="61"/>
      <c r="H173" s="61"/>
    </row>
    <row r="174" spans="2:8" x14ac:dyDescent="0.25">
      <c r="B174" s="62" t="s">
        <v>99</v>
      </c>
      <c r="C174" s="63"/>
      <c r="D174" s="63"/>
      <c r="E174" s="63"/>
      <c r="F174" s="63"/>
      <c r="G174" s="64"/>
    </row>
    <row r="175" spans="2:8" x14ac:dyDescent="0.25">
      <c r="B175" s="14" t="s">
        <v>98</v>
      </c>
      <c r="C175" s="27">
        <v>239</v>
      </c>
      <c r="D175" s="27">
        <v>317</v>
      </c>
      <c r="E175" s="27">
        <v>245</v>
      </c>
      <c r="F175" s="27">
        <v>40</v>
      </c>
      <c r="G175" s="27">
        <f>SUM(C175:F175)</f>
        <v>841</v>
      </c>
    </row>
    <row r="176" spans="2:8" x14ac:dyDescent="0.25">
      <c r="B176" s="14" t="s">
        <v>96</v>
      </c>
      <c r="C176" s="27">
        <f>24710000/1000000</f>
        <v>24.71</v>
      </c>
      <c r="D176" s="27">
        <v>33.51</v>
      </c>
      <c r="E176" s="27">
        <v>13.8</v>
      </c>
      <c r="F176" s="27">
        <v>3.92</v>
      </c>
      <c r="G176" s="11">
        <f>SUM(C176:F176)</f>
        <v>75.94</v>
      </c>
    </row>
    <row r="177" spans="2:8" x14ac:dyDescent="0.25">
      <c r="B177" s="61"/>
      <c r="C177" s="61"/>
      <c r="D177" s="61"/>
      <c r="E177" s="61"/>
      <c r="F177" s="61"/>
      <c r="G177" s="61"/>
      <c r="H177" s="61"/>
    </row>
    <row r="178" spans="2:8" x14ac:dyDescent="0.25">
      <c r="B178" s="62" t="s">
        <v>100</v>
      </c>
      <c r="C178" s="63"/>
      <c r="D178" s="63"/>
      <c r="E178" s="63"/>
      <c r="F178" s="63"/>
      <c r="G178" s="64"/>
    </row>
    <row r="179" spans="2:8" x14ac:dyDescent="0.25">
      <c r="B179" s="14" t="s">
        <v>98</v>
      </c>
      <c r="C179" s="27">
        <v>270</v>
      </c>
      <c r="D179" s="27">
        <v>185840</v>
      </c>
      <c r="E179" s="27">
        <v>0</v>
      </c>
      <c r="F179" s="27">
        <v>0</v>
      </c>
      <c r="G179" s="27">
        <f>SUM(C179:F179)</f>
        <v>186110</v>
      </c>
    </row>
    <row r="180" spans="2:8" x14ac:dyDescent="0.25">
      <c r="B180" s="14" t="s">
        <v>96</v>
      </c>
      <c r="C180" s="27">
        <f>10945000/1000000</f>
        <v>10.945</v>
      </c>
      <c r="D180" s="27">
        <v>3762.0575645183799</v>
      </c>
      <c r="E180" s="27">
        <v>0</v>
      </c>
      <c r="F180" s="27">
        <v>0</v>
      </c>
      <c r="G180" s="11">
        <f>SUM(C180:F180)</f>
        <v>3773.00256451838</v>
      </c>
    </row>
    <row r="181" spans="2:8" x14ac:dyDescent="0.25">
      <c r="B181" s="61"/>
      <c r="C181" s="61"/>
      <c r="D181" s="61"/>
      <c r="E181" s="61"/>
      <c r="F181" s="61"/>
      <c r="G181" s="61"/>
      <c r="H181" s="61"/>
    </row>
    <row r="182" spans="2:8" x14ac:dyDescent="0.25">
      <c r="B182" s="60" t="s">
        <v>101</v>
      </c>
      <c r="C182" s="60"/>
      <c r="D182" s="60"/>
      <c r="E182" s="60"/>
      <c r="F182" s="60"/>
      <c r="G182" s="60"/>
    </row>
    <row r="183" spans="2:8" x14ac:dyDescent="0.25">
      <c r="B183" s="18" t="s">
        <v>102</v>
      </c>
      <c r="C183" s="19">
        <f>+C179+C175+C171+C167</f>
        <v>2882</v>
      </c>
      <c r="D183" s="19">
        <v>190212</v>
      </c>
      <c r="E183" s="19">
        <f>E167+E171+E175+E179</f>
        <v>449</v>
      </c>
      <c r="F183" s="19">
        <f>+F179+F175+F171+F167</f>
        <v>898</v>
      </c>
      <c r="G183" s="19">
        <f>SUM(C183:F183)</f>
        <v>194441</v>
      </c>
    </row>
    <row r="184" spans="2:8" x14ac:dyDescent="0.25">
      <c r="B184" s="18" t="s">
        <v>103</v>
      </c>
      <c r="C184" s="19">
        <f>+C180+C176+C172+C168</f>
        <v>118.71000000000001</v>
      </c>
      <c r="D184" s="19">
        <v>3895.9200505183799</v>
      </c>
      <c r="E184" s="19">
        <f>E168+E172+E176+E180</f>
        <v>20.100000000000001</v>
      </c>
      <c r="F184" s="19">
        <f>+F180+F176+F172+F168</f>
        <v>29.342000000000002</v>
      </c>
      <c r="G184" s="22">
        <f>SUM(C184:F184)</f>
        <v>4064.0720505183799</v>
      </c>
    </row>
    <row r="185" spans="2:8" x14ac:dyDescent="0.25">
      <c r="B185" s="61"/>
      <c r="C185" s="61"/>
      <c r="D185" s="61"/>
      <c r="E185" s="61"/>
      <c r="F185" s="61"/>
      <c r="G185" s="61"/>
      <c r="H185" s="61"/>
    </row>
    <row r="186" spans="2:8" x14ac:dyDescent="0.25">
      <c r="B186" s="60" t="s">
        <v>104</v>
      </c>
      <c r="C186" s="60"/>
      <c r="D186" s="60"/>
      <c r="E186" s="60"/>
      <c r="F186" s="60"/>
      <c r="G186" s="60"/>
    </row>
    <row r="187" spans="2:8" x14ac:dyDescent="0.25">
      <c r="B187" s="14" t="s">
        <v>105</v>
      </c>
      <c r="C187" s="27">
        <v>1314</v>
      </c>
      <c r="D187" s="27">
        <v>8589</v>
      </c>
      <c r="E187" s="27">
        <v>85</v>
      </c>
      <c r="F187" s="27">
        <f>F166+F171+F175+F179+F162</f>
        <v>25735</v>
      </c>
      <c r="G187" s="27">
        <f>SUM(C187:F187)</f>
        <v>35723</v>
      </c>
    </row>
    <row r="188" spans="2:8" x14ac:dyDescent="0.25">
      <c r="B188" s="14" t="s">
        <v>106</v>
      </c>
      <c r="C188" s="27">
        <f>15231165/1000000</f>
        <v>15.231165000000001</v>
      </c>
      <c r="D188" s="27">
        <v>367.21933499999994</v>
      </c>
      <c r="E188" s="27">
        <v>3.36</v>
      </c>
      <c r="F188" s="27">
        <f>F167+F172+F176+F180+F163</f>
        <v>640.12322300000005</v>
      </c>
      <c r="G188" s="11">
        <f>SUM(C188:F188)</f>
        <v>1025.9337230000001</v>
      </c>
    </row>
    <row r="189" spans="2:8" x14ac:dyDescent="0.25">
      <c r="B189" s="61"/>
      <c r="C189" s="61"/>
      <c r="D189" s="61"/>
      <c r="E189" s="61"/>
      <c r="F189" s="61"/>
      <c r="G189" s="61"/>
      <c r="H189" s="61"/>
    </row>
    <row r="190" spans="2:8" x14ac:dyDescent="0.25">
      <c r="B190" s="60" t="s">
        <v>107</v>
      </c>
      <c r="C190" s="60"/>
      <c r="D190" s="60"/>
      <c r="E190" s="60"/>
      <c r="F190" s="60"/>
      <c r="G190" s="60"/>
    </row>
    <row r="191" spans="2:8" x14ac:dyDescent="0.25">
      <c r="B191" s="18" t="s">
        <v>108</v>
      </c>
      <c r="C191" s="19">
        <f>C187+C162+C183</f>
        <v>6797</v>
      </c>
      <c r="D191" s="19">
        <v>239317</v>
      </c>
      <c r="E191" s="19">
        <f>+E162+E183+E187</f>
        <v>7296</v>
      </c>
      <c r="F191" s="19">
        <f>F158+F162+F183+F187</f>
        <v>52570</v>
      </c>
      <c r="G191" s="19">
        <f>SUM(C191:F191)</f>
        <v>305980</v>
      </c>
    </row>
    <row r="192" spans="2:8" x14ac:dyDescent="0.25">
      <c r="B192" s="18" t="s">
        <v>109</v>
      </c>
      <c r="C192" s="19">
        <f>C188+C163+C184</f>
        <v>196.68572</v>
      </c>
      <c r="D192" s="19">
        <v>4385.6175335183798</v>
      </c>
      <c r="E192" s="19">
        <f>+E163+E184+E188</f>
        <v>133.66000000000003</v>
      </c>
      <c r="F192" s="19">
        <f>F159+F184+F163+F188</f>
        <v>834.72419600000012</v>
      </c>
      <c r="G192" s="22">
        <f>SUM(C192:F192)</f>
        <v>5550.6874495183802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Ene-24</vt:lpstr>
      <vt:lpstr>Feb-24</vt:lpstr>
      <vt:lpstr>Mar-24</vt:lpstr>
      <vt:lpstr>Abr-24</vt:lpstr>
      <vt:lpstr>May-24</vt:lpstr>
      <vt:lpstr>Jun-24</vt:lpstr>
      <vt:lpstr>Jul-24</vt:lpstr>
      <vt:lpstr>Ago-24</vt:lpstr>
      <vt:lpstr>Sep-24</vt:lpstr>
      <vt:lpstr>Oct-24</vt:lpstr>
      <vt:lpstr>Nov-24</vt:lpstr>
      <vt:lpstr>Dic-24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2020-04-29T19:55:58Z</dcterms:created>
  <dcterms:modified xsi:type="dcterms:W3CDTF">2024-12-02T14:50:52Z</dcterms:modified>
  <cp:category/>
  <cp:contentStatus/>
</cp:coreProperties>
</file>