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8_{CFACC583-C234-4BAC-B8CC-9B7B725ACA95}" xr6:coauthVersionLast="47" xr6:coauthVersionMax="47" xr10:uidLastSave="{00000000-0000-0000-0000-000000000000}"/>
  <bookViews>
    <workbookView xWindow="0" yWindow="0" windowWidth="12960" windowHeight="10920" tabRatio="781" firstSheet="9" activeTab="12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  <sheet name="Ene-25" sheetId="10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02" l="1"/>
  <c r="F158" i="102"/>
  <c r="F77" i="102"/>
  <c r="F76" i="102"/>
  <c r="F75" i="102"/>
  <c r="F74" i="102"/>
  <c r="F73" i="102"/>
  <c r="F21" i="102"/>
  <c r="E102" i="102"/>
  <c r="E103" i="102"/>
  <c r="D103" i="102" l="1"/>
  <c r="D102" i="102"/>
  <c r="D77" i="102"/>
  <c r="D76" i="102"/>
  <c r="D75" i="102"/>
  <c r="D74" i="102"/>
  <c r="D73" i="102"/>
  <c r="D35" i="102"/>
  <c r="D16" i="102"/>
  <c r="D8" i="102"/>
  <c r="C188" i="102" l="1"/>
  <c r="C180" i="102"/>
  <c r="C176" i="102"/>
  <c r="C172" i="102"/>
  <c r="C168" i="102"/>
  <c r="C163" i="102"/>
  <c r="C103" i="102"/>
  <c r="C102" i="102"/>
  <c r="C77" i="102"/>
  <c r="C76" i="102"/>
  <c r="G76" i="102" s="1"/>
  <c r="C74" i="102"/>
  <c r="C73" i="102"/>
  <c r="C49" i="102"/>
  <c r="C45" i="102"/>
  <c r="C41" i="102"/>
  <c r="C35" i="102"/>
  <c r="G35" i="102" s="1"/>
  <c r="C14" i="102"/>
  <c r="C16" i="102" s="1"/>
  <c r="C8" i="102"/>
  <c r="G77" i="102"/>
  <c r="G188" i="102"/>
  <c r="G187" i="102"/>
  <c r="F184" i="102"/>
  <c r="F192" i="102" s="1"/>
  <c r="D184" i="102"/>
  <c r="F183" i="102"/>
  <c r="D183" i="102"/>
  <c r="C183" i="102"/>
  <c r="C191" i="102" s="1"/>
  <c r="C184" i="102"/>
  <c r="G179" i="102"/>
  <c r="G176" i="102"/>
  <c r="G175" i="102"/>
  <c r="G172" i="102"/>
  <c r="G171" i="102"/>
  <c r="G168" i="102"/>
  <c r="G167" i="102"/>
  <c r="G163" i="102"/>
  <c r="G162" i="102"/>
  <c r="D159" i="102"/>
  <c r="D158" i="102"/>
  <c r="G155" i="102"/>
  <c r="G154" i="102"/>
  <c r="G151" i="102"/>
  <c r="G150" i="102"/>
  <c r="G147" i="102"/>
  <c r="G146" i="102"/>
  <c r="G139" i="102"/>
  <c r="G138" i="102"/>
  <c r="G134" i="102"/>
  <c r="G131" i="102"/>
  <c r="G130" i="102"/>
  <c r="G127" i="102"/>
  <c r="G125" i="102"/>
  <c r="G122" i="102"/>
  <c r="G121" i="102"/>
  <c r="G120" i="102"/>
  <c r="G118" i="102"/>
  <c r="G117" i="102"/>
  <c r="G116" i="102"/>
  <c r="G113" i="102"/>
  <c r="G112" i="102"/>
  <c r="G111" i="102"/>
  <c r="G109" i="102"/>
  <c r="G108" i="102"/>
  <c r="G107" i="102"/>
  <c r="F103" i="102"/>
  <c r="F102" i="102"/>
  <c r="G101" i="102"/>
  <c r="G100" i="102"/>
  <c r="G99" i="102"/>
  <c r="G97" i="102"/>
  <c r="G96" i="102"/>
  <c r="G95" i="102"/>
  <c r="G94" i="102"/>
  <c r="G93" i="102"/>
  <c r="G91" i="102"/>
  <c r="G90" i="102"/>
  <c r="G89" i="102"/>
  <c r="G88" i="102"/>
  <c r="G87" i="102"/>
  <c r="G85" i="102"/>
  <c r="G84" i="102"/>
  <c r="G83" i="102"/>
  <c r="G82" i="102"/>
  <c r="G81" i="102"/>
  <c r="G75" i="102"/>
  <c r="G71" i="102"/>
  <c r="G70" i="102"/>
  <c r="G69" i="102"/>
  <c r="G68" i="102"/>
  <c r="G67" i="102"/>
  <c r="G65" i="102"/>
  <c r="G64" i="102"/>
  <c r="G61" i="102"/>
  <c r="G59" i="102"/>
  <c r="G58" i="102"/>
  <c r="G57" i="102"/>
  <c r="G56" i="102"/>
  <c r="G55" i="102"/>
  <c r="G49" i="102"/>
  <c r="G48" i="102"/>
  <c r="G45" i="102"/>
  <c r="G44" i="102"/>
  <c r="G41" i="102"/>
  <c r="G40" i="102"/>
  <c r="G34" i="102"/>
  <c r="G33" i="102"/>
  <c r="G30" i="102"/>
  <c r="F27" i="102"/>
  <c r="E27" i="102"/>
  <c r="D27" i="102"/>
  <c r="G24" i="102"/>
  <c r="G19" i="102"/>
  <c r="G15" i="102"/>
  <c r="G14" i="102"/>
  <c r="G13" i="102"/>
  <c r="G12" i="102"/>
  <c r="G8" i="102"/>
  <c r="G7" i="102"/>
  <c r="G6" i="102"/>
  <c r="F184" i="101"/>
  <c r="F184" i="100"/>
  <c r="F183" i="101"/>
  <c r="F183" i="100"/>
  <c r="F77" i="101"/>
  <c r="F76" i="101"/>
  <c r="F75" i="101"/>
  <c r="F74" i="101"/>
  <c r="F73" i="101"/>
  <c r="G184" i="102" l="1"/>
  <c r="G16" i="102"/>
  <c r="C21" i="102"/>
  <c r="F191" i="102"/>
  <c r="G191" i="102" s="1"/>
  <c r="G158" i="102"/>
  <c r="G159" i="102"/>
  <c r="G102" i="102"/>
  <c r="G103" i="102"/>
  <c r="G74" i="102"/>
  <c r="G73" i="102"/>
  <c r="C192" i="102"/>
  <c r="G192" i="102" s="1"/>
  <c r="G180" i="102"/>
  <c r="G183" i="102"/>
  <c r="D184" i="101"/>
  <c r="D183" i="101"/>
  <c r="D159" i="101"/>
  <c r="D158" i="101"/>
  <c r="D77" i="101"/>
  <c r="D76" i="101"/>
  <c r="D75" i="101"/>
  <c r="D74" i="101"/>
  <c r="D73" i="101"/>
  <c r="D35" i="101"/>
  <c r="D8" i="101"/>
  <c r="G21" i="102" l="1"/>
  <c r="C27" i="102"/>
  <c r="G27" i="102" s="1"/>
  <c r="C188" i="101"/>
  <c r="C184" i="101"/>
  <c r="C183" i="101"/>
  <c r="C180" i="101"/>
  <c r="C176" i="101"/>
  <c r="C172" i="101"/>
  <c r="C168" i="101"/>
  <c r="C163" i="101"/>
  <c r="C77" i="101"/>
  <c r="C76" i="101"/>
  <c r="C74" i="101"/>
  <c r="C73" i="101"/>
  <c r="C49" i="101"/>
  <c r="C45" i="101"/>
  <c r="C41" i="101"/>
  <c r="C35" i="101"/>
  <c r="C14" i="101"/>
  <c r="C16" i="101" s="1"/>
  <c r="C8" i="101"/>
  <c r="E158" i="100"/>
  <c r="D159" i="100" l="1"/>
  <c r="D158" i="100"/>
  <c r="C77" i="99" l="1"/>
  <c r="C76" i="99"/>
  <c r="C73" i="98"/>
  <c r="F184" i="99" l="1"/>
  <c r="F184" i="98"/>
  <c r="F183" i="99"/>
  <c r="F183" i="98"/>
  <c r="F21" i="99"/>
  <c r="C188" i="99" l="1"/>
  <c r="C183" i="99"/>
  <c r="C180" i="99"/>
  <c r="C184" i="99" s="1"/>
  <c r="C176" i="99"/>
  <c r="C172" i="99"/>
  <c r="C168" i="99"/>
  <c r="C163" i="99"/>
  <c r="C74" i="99"/>
  <c r="C73" i="99"/>
  <c r="C49" i="99"/>
  <c r="C45" i="99"/>
  <c r="C41" i="99"/>
  <c r="F188" i="98"/>
  <c r="F187" i="98"/>
  <c r="F77" i="98"/>
  <c r="F76" i="98"/>
  <c r="F75" i="98"/>
  <c r="F74" i="98"/>
  <c r="F73" i="98"/>
  <c r="F21" i="98"/>
  <c r="E184" i="98"/>
  <c r="E183" i="98"/>
  <c r="E191" i="98" s="1"/>
  <c r="D77" i="98" l="1"/>
  <c r="D76" i="98"/>
  <c r="D75" i="98"/>
  <c r="D74" i="98"/>
  <c r="D73" i="98"/>
  <c r="D35" i="98"/>
  <c r="D8" i="98"/>
  <c r="C188" i="98" l="1"/>
  <c r="C183" i="98"/>
  <c r="C180" i="98"/>
  <c r="C184" i="98" s="1"/>
  <c r="C176" i="98"/>
  <c r="C172" i="98"/>
  <c r="C168" i="98"/>
  <c r="C163" i="98"/>
  <c r="C103" i="98"/>
  <c r="C102" i="98"/>
  <c r="C77" i="98"/>
  <c r="C76" i="98"/>
  <c r="C74" i="98"/>
  <c r="C49" i="98"/>
  <c r="C45" i="98"/>
  <c r="C41" i="98"/>
  <c r="C35" i="98"/>
  <c r="C14" i="98"/>
  <c r="C16" i="98" s="1"/>
  <c r="C21" i="98" s="1"/>
  <c r="C8" i="98"/>
  <c r="F21" i="97"/>
  <c r="D8" i="97" l="1"/>
  <c r="C188" i="97" l="1"/>
  <c r="C183" i="97"/>
  <c r="C180" i="97"/>
  <c r="C184" i="97" s="1"/>
  <c r="C176" i="97"/>
  <c r="C172" i="97"/>
  <c r="C168" i="97"/>
  <c r="C163" i="97"/>
  <c r="C77" i="97"/>
  <c r="C76" i="97"/>
  <c r="C74" i="97"/>
  <c r="C73" i="97"/>
  <c r="C49" i="97"/>
  <c r="C45" i="97"/>
  <c r="C41" i="97"/>
  <c r="C35" i="97"/>
  <c r="C14" i="97"/>
  <c r="C16" i="97" s="1"/>
  <c r="C21" i="97" s="1"/>
  <c r="C8" i="97"/>
  <c r="E27" i="96"/>
  <c r="F21" i="96"/>
  <c r="E184" i="96"/>
  <c r="E183" i="96"/>
  <c r="D35" i="96" l="1"/>
  <c r="D8" i="96"/>
  <c r="C188" i="96" l="1"/>
  <c r="C183" i="96"/>
  <c r="C180" i="96"/>
  <c r="C184" i="96" s="1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3" i="95"/>
  <c r="C180" i="95"/>
  <c r="C184" i="95" s="1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84" i="93"/>
  <c r="E183" i="93"/>
  <c r="E21" i="94"/>
  <c r="B188" i="94" l="1"/>
  <c r="B183" i="94"/>
  <c r="B180" i="94"/>
  <c r="B184" i="94" s="1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3" i="93"/>
  <c r="B180" i="93"/>
  <c r="B184" i="93" s="1"/>
  <c r="B176" i="93"/>
  <c r="B172" i="93"/>
  <c r="B168" i="93"/>
  <c r="B163" i="93"/>
  <c r="B49" i="93"/>
  <c r="B45" i="93"/>
  <c r="B41" i="93"/>
  <c r="B21" i="93"/>
  <c r="B188" i="92"/>
  <c r="B183" i="92"/>
  <c r="B180" i="92"/>
  <c r="B184" i="92" s="1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3" i="91"/>
  <c r="C180" i="91"/>
  <c r="C184" i="91" s="1"/>
  <c r="C176" i="91"/>
  <c r="C172" i="91"/>
  <c r="C168" i="91"/>
  <c r="G168" i="91" s="1"/>
  <c r="C163" i="91"/>
  <c r="C77" i="91"/>
  <c r="C76" i="91"/>
  <c r="C74" i="91"/>
  <c r="C73" i="91"/>
  <c r="G73" i="91" s="1"/>
  <c r="C49" i="91"/>
  <c r="C45" i="91"/>
  <c r="C41" i="91"/>
  <c r="G41" i="91" s="1"/>
  <c r="C35" i="91"/>
  <c r="G35" i="91" s="1"/>
  <c r="C14" i="91"/>
  <c r="C16" i="91" s="1"/>
  <c r="G16" i="91" s="1"/>
  <c r="C8" i="91"/>
  <c r="G188" i="101"/>
  <c r="G187" i="101"/>
  <c r="G180" i="101"/>
  <c r="G179" i="101"/>
  <c r="G176" i="101"/>
  <c r="G175" i="101"/>
  <c r="G172" i="101"/>
  <c r="G171" i="101"/>
  <c r="G168" i="101"/>
  <c r="G167" i="101"/>
  <c r="G163" i="101"/>
  <c r="G162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4" i="101"/>
  <c r="G21" i="101"/>
  <c r="G19" i="101"/>
  <c r="G16" i="101"/>
  <c r="G15" i="101"/>
  <c r="G14" i="101"/>
  <c r="G13" i="101"/>
  <c r="G12" i="101"/>
  <c r="G8" i="101"/>
  <c r="G7" i="101"/>
  <c r="G6" i="101"/>
  <c r="G188" i="100"/>
  <c r="G187" i="100"/>
  <c r="G180" i="100"/>
  <c r="G179" i="100"/>
  <c r="G176" i="100"/>
  <c r="G175" i="100"/>
  <c r="G172" i="100"/>
  <c r="G171" i="100"/>
  <c r="G168" i="100"/>
  <c r="G167" i="100"/>
  <c r="G163" i="100"/>
  <c r="G162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4" i="100"/>
  <c r="G21" i="100"/>
  <c r="G19" i="100"/>
  <c r="G16" i="100"/>
  <c r="G15" i="100"/>
  <c r="G14" i="100"/>
  <c r="G13" i="100"/>
  <c r="G12" i="100"/>
  <c r="G8" i="100"/>
  <c r="G7" i="100"/>
  <c r="G6" i="100"/>
  <c r="G180" i="99"/>
  <c r="G179" i="99"/>
  <c r="G176" i="99"/>
  <c r="G175" i="99"/>
  <c r="G172" i="99"/>
  <c r="G171" i="99"/>
  <c r="G168" i="99"/>
  <c r="G167" i="99"/>
  <c r="G163" i="99"/>
  <c r="G162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4" i="99"/>
  <c r="G21" i="99"/>
  <c r="G19" i="99"/>
  <c r="G16" i="99"/>
  <c r="G15" i="99"/>
  <c r="G14" i="99"/>
  <c r="G13" i="99"/>
  <c r="G12" i="99"/>
  <c r="G8" i="99"/>
  <c r="G7" i="99"/>
  <c r="G6" i="99"/>
  <c r="G188" i="98"/>
  <c r="G187" i="98"/>
  <c r="G180" i="98"/>
  <c r="G179" i="98"/>
  <c r="G176" i="98"/>
  <c r="G175" i="98"/>
  <c r="G172" i="98"/>
  <c r="G171" i="98"/>
  <c r="G168" i="98"/>
  <c r="G167" i="98"/>
  <c r="G163" i="98"/>
  <c r="G162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4" i="98"/>
  <c r="G21" i="98"/>
  <c r="G19" i="98"/>
  <c r="G16" i="98"/>
  <c r="G15" i="98"/>
  <c r="G14" i="98"/>
  <c r="G13" i="98"/>
  <c r="G12" i="98"/>
  <c r="G8" i="98"/>
  <c r="G7" i="98"/>
  <c r="G6" i="98"/>
  <c r="G188" i="97"/>
  <c r="G187" i="97"/>
  <c r="G180" i="97"/>
  <c r="G179" i="97"/>
  <c r="G176" i="97"/>
  <c r="G175" i="97"/>
  <c r="G172" i="97"/>
  <c r="G171" i="97"/>
  <c r="G168" i="97"/>
  <c r="G167" i="97"/>
  <c r="G163" i="97"/>
  <c r="G162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1" i="68"/>
  <c r="G70" i="68"/>
  <c r="G69" i="68"/>
  <c r="G68" i="68"/>
  <c r="G67" i="68"/>
  <c r="G59" i="68"/>
  <c r="G58" i="68"/>
  <c r="G57" i="68"/>
  <c r="G56" i="68"/>
  <c r="G55" i="68"/>
  <c r="G48" i="68"/>
  <c r="G44" i="68"/>
  <c r="G40" i="68"/>
  <c r="G34" i="68"/>
  <c r="G33" i="68"/>
  <c r="G30" i="68"/>
  <c r="G24" i="68"/>
  <c r="G19" i="68"/>
  <c r="G16" i="68"/>
  <c r="G15" i="68"/>
  <c r="G14" i="68"/>
  <c r="G13" i="68"/>
  <c r="G12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E74" i="68"/>
  <c r="E73" i="68"/>
  <c r="E35" i="68"/>
  <c r="D8" i="68" l="1"/>
  <c r="G8" i="68" s="1"/>
  <c r="C188" i="68" l="1"/>
  <c r="C183" i="68"/>
  <c r="C180" i="68"/>
  <c r="C184" i="68" s="1"/>
  <c r="C176" i="68"/>
  <c r="C172" i="68"/>
  <c r="C168" i="68"/>
  <c r="C163" i="68"/>
  <c r="C77" i="68"/>
  <c r="G77" i="68" s="1"/>
  <c r="C76" i="68"/>
  <c r="G76" i="68" s="1"/>
  <c r="C74" i="68"/>
  <c r="G74" i="68" s="1"/>
  <c r="C73" i="68"/>
  <c r="G73" i="68" s="1"/>
  <c r="C49" i="68"/>
  <c r="G49" i="68" s="1"/>
  <c r="C45" i="68"/>
  <c r="G45" i="68" s="1"/>
  <c r="C41" i="68"/>
  <c r="G41" i="68" s="1"/>
  <c r="C35" i="68"/>
  <c r="G35" i="68" s="1"/>
  <c r="C21" i="68"/>
  <c r="G21" i="68" s="1"/>
  <c r="C192" i="101"/>
  <c r="C191" i="101"/>
  <c r="G184" i="101"/>
  <c r="G183" i="101"/>
  <c r="F159" i="101"/>
  <c r="F158" i="10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G184" i="100"/>
  <c r="G183" i="100"/>
  <c r="F159" i="100"/>
  <c r="F158" i="100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G184" i="99"/>
  <c r="G183" i="99"/>
  <c r="F159" i="99"/>
  <c r="F158" i="99"/>
  <c r="F103" i="99"/>
  <c r="E103" i="99"/>
  <c r="C103" i="99"/>
  <c r="F102" i="99"/>
  <c r="E102" i="99"/>
  <c r="C102" i="99"/>
  <c r="F27" i="99"/>
  <c r="E27" i="99"/>
  <c r="D27" i="99"/>
  <c r="C27" i="99"/>
  <c r="C192" i="98"/>
  <c r="C191" i="98"/>
  <c r="G184" i="98"/>
  <c r="G183" i="98"/>
  <c r="F159" i="98"/>
  <c r="F192" i="98" s="1"/>
  <c r="F158" i="98"/>
  <c r="F103" i="98"/>
  <c r="E103" i="98"/>
  <c r="F102" i="98"/>
  <c r="E102" i="98"/>
  <c r="F27" i="98"/>
  <c r="E27" i="98"/>
  <c r="D27" i="98"/>
  <c r="C27" i="98"/>
  <c r="C192" i="97"/>
  <c r="C191" i="97"/>
  <c r="F184" i="97"/>
  <c r="G184" i="97" s="1"/>
  <c r="F183" i="97"/>
  <c r="G183" i="97" s="1"/>
  <c r="F159" i="97"/>
  <c r="F158" i="97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58" i="94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92" i="93" s="1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G27" i="101" l="1"/>
  <c r="G102" i="101"/>
  <c r="G103" i="101"/>
  <c r="F191" i="101"/>
  <c r="G191" i="101" s="1"/>
  <c r="G158" i="101"/>
  <c r="E187" i="94"/>
  <c r="E191" i="94"/>
  <c r="F191" i="94" s="1"/>
  <c r="F192" i="101"/>
  <c r="G192" i="101" s="1"/>
  <c r="G159" i="101"/>
  <c r="E188" i="94"/>
  <c r="G103" i="100"/>
  <c r="G102" i="100"/>
  <c r="F192" i="100"/>
  <c r="G192" i="100" s="1"/>
  <c r="G159" i="100"/>
  <c r="F191" i="100"/>
  <c r="G191" i="100" s="1"/>
  <c r="G158" i="100"/>
  <c r="G27" i="100"/>
  <c r="F188" i="99"/>
  <c r="G188" i="99" s="1"/>
  <c r="F187" i="99"/>
  <c r="G187" i="99" s="1"/>
  <c r="G159" i="99"/>
  <c r="G158" i="99"/>
  <c r="G103" i="99"/>
  <c r="G102" i="99"/>
  <c r="G27" i="99"/>
  <c r="G103" i="98"/>
  <c r="G102" i="98"/>
  <c r="G192" i="98"/>
  <c r="G159" i="98"/>
  <c r="F191" i="98"/>
  <c r="G191" i="98" s="1"/>
  <c r="G158" i="98"/>
  <c r="G27" i="98"/>
  <c r="F192" i="97"/>
  <c r="G159" i="97"/>
  <c r="F191" i="97"/>
  <c r="G191" i="97" s="1"/>
  <c r="G158" i="97"/>
  <c r="G192" i="97"/>
  <c r="G102" i="97"/>
  <c r="G103" i="97"/>
  <c r="G27" i="97"/>
  <c r="F192" i="96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59" i="94"/>
  <c r="F27" i="94"/>
  <c r="F102" i="94"/>
  <c r="F103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F183" i="94" l="1"/>
  <c r="F187" i="94"/>
  <c r="F184" i="94"/>
  <c r="F188" i="94"/>
  <c r="E192" i="94"/>
  <c r="F192" i="94" s="1"/>
  <c r="F191" i="99"/>
  <c r="G191" i="99" s="1"/>
  <c r="F192" i="99"/>
  <c r="G192" i="99" s="1"/>
  <c r="G127" i="68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<sst xmlns="http://schemas.openxmlformats.org/spreadsheetml/2006/main" count="2116" uniqueCount="110">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</sst>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5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4" fontId="7" fillId="0" borderId="2" xfId="0" applyNumberFormat="1" applyFont="1" applyBorder="1" applyAlignment="1">
      <alignment horizontal="center"/>
    </xf>
    <xf numFmtId="169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5" fillId="4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6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7" borderId="2" xfId="0" applyFont="1" applyFill="1" applyBorder="1" applyAlignment="1">
      <alignment horizontal="left"/>
    </xf>
    <xf numFmtId="3" fontId="0" fillId="0" borderId="3" xfId="0" applyNumberFormat="1" applyBorder="1" applyAlignment="1">
      <alignment horizontal="right"/>
    </xf>
  </cellXfs>
  <cellStyles count="25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7" xfId="24" xr:uid="{E75761AA-BD14-4416-A4F8-DCFD590C4343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7" sqref="C67:C71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12">
        <v>106801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119242</v>
      </c>
    </row>
    <row r="56" spans="2:9" x14ac:dyDescent="0.25">
      <c r="B56" s="14" t="s">
        <v>47</v>
      </c>
      <c r="C56" s="12">
        <v>63486.650983</v>
      </c>
      <c r="D56" s="12">
        <v>5836.43324199995</v>
      </c>
      <c r="E56" s="12">
        <v>2252</v>
      </c>
      <c r="F56" s="12">
        <v>12585</v>
      </c>
      <c r="G56" s="27">
        <f t="shared" si="0"/>
        <v>84160.084224999955</v>
      </c>
    </row>
    <row r="57" spans="2:9" x14ac:dyDescent="0.25">
      <c r="B57" s="14" t="s">
        <v>48</v>
      </c>
      <c r="C57" s="12">
        <v>11.265437589535701</v>
      </c>
      <c r="D57" s="12">
        <v>34</v>
      </c>
      <c r="E57" s="12">
        <v>20</v>
      </c>
      <c r="F57" s="12">
        <v>29</v>
      </c>
      <c r="G57" s="27">
        <f>AVERAGE(C57:F57)</f>
        <v>23.566359397383927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12">
        <v>4541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21910</v>
      </c>
    </row>
    <row r="68" spans="2:8" x14ac:dyDescent="0.25">
      <c r="B68" s="14" t="s">
        <v>47</v>
      </c>
      <c r="C68" s="12">
        <v>3808.7505890000002</v>
      </c>
      <c r="D68" s="12">
        <v>1911.2171000000001</v>
      </c>
      <c r="E68" s="12">
        <v>1716</v>
      </c>
      <c r="F68" s="12">
        <v>18380</v>
      </c>
      <c r="G68" s="27">
        <f t="shared" si="2"/>
        <v>25815.967689000001</v>
      </c>
    </row>
    <row r="69" spans="2:8" x14ac:dyDescent="0.25">
      <c r="B69" s="14" t="s">
        <v>48</v>
      </c>
      <c r="C69" s="12">
        <v>32.454965866549202</v>
      </c>
      <c r="D69" s="12">
        <v>54</v>
      </c>
      <c r="E69" s="12">
        <v>46</v>
      </c>
      <c r="F69" s="12">
        <v>38</v>
      </c>
      <c r="G69" s="27">
        <f>AVERAGE(C69:F69)</f>
        <v>42.6137414666373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111342</v>
      </c>
      <c r="D73" s="19">
        <v>7521</v>
      </c>
      <c r="E73" s="19">
        <f>+E55+E67</f>
        <v>3223</v>
      </c>
      <c r="F73" s="19">
        <v>19066</v>
      </c>
      <c r="G73" s="19">
        <f>SUM(C73:F73)</f>
        <v>141152</v>
      </c>
    </row>
    <row r="74" spans="2:8" x14ac:dyDescent="0.25">
      <c r="B74" s="18" t="s">
        <v>47</v>
      </c>
      <c r="C74" s="19">
        <f>+C56+C68</f>
        <v>67295.401572000002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109976.05191399995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934</v>
      </c>
      <c r="E146" s="27"/>
      <c r="F146" s="1">
        <v>227</v>
      </c>
      <c r="G146" s="27">
        <f>SUM(C146:F146)</f>
        <v>1161</v>
      </c>
    </row>
    <row r="147" spans="2:8" x14ac:dyDescent="0.25">
      <c r="B147" s="14" t="s">
        <v>82</v>
      </c>
      <c r="C147" s="27">
        <v>0</v>
      </c>
      <c r="D147" s="27">
        <v>20.91</v>
      </c>
      <c r="E147" s="27"/>
      <c r="F147" s="29">
        <v>2.7214999999999998</v>
      </c>
      <c r="G147" s="11">
        <f>SUM(C147:F147)</f>
        <v>23.631499999999999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9">
        <v>0</v>
      </c>
      <c r="D154" s="29">
        <v>88</v>
      </c>
      <c r="E154" s="29">
        <v>1</v>
      </c>
      <c r="F154" s="29">
        <v>0</v>
      </c>
      <c r="G154" s="27">
        <f>SUM(C154:F154)</f>
        <v>89</v>
      </c>
      <c r="H154"/>
    </row>
    <row r="155" spans="2:8" x14ac:dyDescent="0.25">
      <c r="B155" s="14" t="s">
        <v>88</v>
      </c>
      <c r="C155" s="29">
        <v>0</v>
      </c>
      <c r="D155" s="29">
        <v>1.31</v>
      </c>
      <c r="E155" s="29">
        <v>4.4999999999999998E-2</v>
      </c>
      <c r="F155" s="29">
        <v>0</v>
      </c>
      <c r="G155" s="11">
        <f>SUM(C155:F155)</f>
        <v>1.355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1022</v>
      </c>
      <c r="E158" s="19">
        <f>+E154+E150+E146</f>
        <v>1</v>
      </c>
      <c r="F158" s="19">
        <f>F146+F154</f>
        <v>227</v>
      </c>
      <c r="G158" s="19">
        <f>SUM(C158:F158)</f>
        <v>1250</v>
      </c>
    </row>
    <row r="159" spans="2:8" x14ac:dyDescent="0.25">
      <c r="B159" s="18" t="s">
        <v>91</v>
      </c>
      <c r="C159" s="19">
        <v>0</v>
      </c>
      <c r="D159" s="19">
        <v>22.22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24.986499999999999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2982</v>
      </c>
      <c r="D162" s="27">
        <v>36738</v>
      </c>
      <c r="E162" s="27">
        <v>4837</v>
      </c>
      <c r="F162" s="27">
        <v>24597</v>
      </c>
      <c r="G162" s="27">
        <f>SUM(C162:F162)</f>
        <v>69154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260.87920700000001</v>
      </c>
      <c r="E163" s="27">
        <v>75</v>
      </c>
      <c r="F163" s="27">
        <v>155.13153299999999</v>
      </c>
      <c r="G163" s="11">
        <f>SUM(C163:F163)</f>
        <v>564.33586700000001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818</v>
      </c>
      <c r="D167" s="27">
        <v>3729</v>
      </c>
      <c r="E167" s="27">
        <v>104</v>
      </c>
      <c r="F167" s="27">
        <v>613</v>
      </c>
      <c r="G167" s="27">
        <f>SUM(C167:F167)</f>
        <v>5264</v>
      </c>
    </row>
    <row r="168" spans="2:8" x14ac:dyDescent="0.25">
      <c r="B168" s="14" t="s">
        <v>96</v>
      </c>
      <c r="C168" s="27">
        <f>28630000/1000000</f>
        <v>28.63</v>
      </c>
      <c r="D168" s="27">
        <v>78.569998999999996</v>
      </c>
      <c r="E168" s="27">
        <v>2.6</v>
      </c>
      <c r="F168" s="27">
        <v>21.74</v>
      </c>
      <c r="G168" s="11">
        <f>SUM(C168:F168)</f>
        <v>131.53999899999999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1975</v>
      </c>
      <c r="D171" s="27">
        <v>540</v>
      </c>
      <c r="E171" s="27">
        <v>148</v>
      </c>
      <c r="F171" s="27">
        <v>443</v>
      </c>
      <c r="G171" s="27">
        <f>SUM(C171:F171)</f>
        <v>3106</v>
      </c>
    </row>
    <row r="172" spans="2:8" x14ac:dyDescent="0.25">
      <c r="B172" s="14" t="s">
        <v>96</v>
      </c>
      <c r="C172" s="27">
        <f>69125000/1000000</f>
        <v>69.125</v>
      </c>
      <c r="D172" s="27">
        <v>11.361000000000001</v>
      </c>
      <c r="E172" s="27">
        <v>3.7</v>
      </c>
      <c r="F172" s="27">
        <v>9.702</v>
      </c>
      <c r="G172" s="11">
        <f>SUM(C172:F172)</f>
        <v>93.888000000000005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184</v>
      </c>
      <c r="D175" s="27">
        <v>323</v>
      </c>
      <c r="E175" s="27">
        <v>130</v>
      </c>
      <c r="F175" s="27">
        <v>36</v>
      </c>
      <c r="G175" s="27">
        <f>SUM(C175:F175)</f>
        <v>673</v>
      </c>
    </row>
    <row r="176" spans="2:8" x14ac:dyDescent="0.25">
      <c r="B176" s="14" t="s">
        <v>96</v>
      </c>
      <c r="C176" s="27">
        <f>19380000/1000000</f>
        <v>19.38</v>
      </c>
      <c r="D176" s="27">
        <v>34.17</v>
      </c>
      <c r="E176" s="27">
        <v>7.77</v>
      </c>
      <c r="F176" s="27">
        <v>3.56</v>
      </c>
      <c r="G176" s="11">
        <f>SUM(C176:F176)</f>
        <v>64.88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385</v>
      </c>
      <c r="D179" s="27">
        <v>176506</v>
      </c>
      <c r="E179" s="27">
        <v>0</v>
      </c>
      <c r="F179" s="27">
        <v>0</v>
      </c>
      <c r="G179" s="27">
        <f>SUM(C179:F179)</f>
        <v>176891</v>
      </c>
    </row>
    <row r="180" spans="2:8" x14ac:dyDescent="0.25">
      <c r="B180" s="14" t="s">
        <v>96</v>
      </c>
      <c r="C180" s="27">
        <f>11850000/1000000</f>
        <v>11.85</v>
      </c>
      <c r="D180" s="27">
        <v>3853.5944426759902</v>
      </c>
      <c r="E180" s="27">
        <v>0</v>
      </c>
      <c r="F180" s="27">
        <v>0</v>
      </c>
      <c r="G180" s="11">
        <f>SUM(C180:F180)</f>
        <v>3865.4444426759901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3362</v>
      </c>
      <c r="D183" s="19">
        <v>181098</v>
      </c>
      <c r="E183" s="19">
        <f>+E167+E171+E175+E179</f>
        <v>382</v>
      </c>
      <c r="F183" s="19">
        <f>+F179+F175+F171+F167</f>
        <v>1092</v>
      </c>
      <c r="G183" s="19">
        <f>SUM(C183:F183)</f>
        <v>185934</v>
      </c>
    </row>
    <row r="184" spans="2:8" x14ac:dyDescent="0.25">
      <c r="B184" s="18" t="s">
        <v>103</v>
      </c>
      <c r="C184" s="19">
        <f>+C180+C176+C172+C168</f>
        <v>128.98499999999999</v>
      </c>
      <c r="D184" s="19">
        <v>3977.69544167599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4155.7524416759898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3751</v>
      </c>
      <c r="D187" s="27">
        <v>37</v>
      </c>
      <c r="E187" s="27">
        <v>62</v>
      </c>
      <c r="F187" s="27">
        <f>F166+F171+F175+F179+F162</f>
        <v>25076</v>
      </c>
      <c r="G187" s="27">
        <f>SUM(C187:F187)</f>
        <v>28926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64.464782999999997</v>
      </c>
      <c r="E188" s="27">
        <v>2.4649999999999999</v>
      </c>
      <c r="F188" s="27">
        <f>F167+F172+F176+F180+F163</f>
        <v>781.39353299999993</v>
      </c>
      <c r="G188" s="11">
        <f>SUM(C188:F188)</f>
        <v>880.94435199999998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10095</v>
      </c>
      <c r="D191" s="19">
        <v>218895</v>
      </c>
      <c r="E191" s="19">
        <f>+E162+E183+E187</f>
        <v>5281</v>
      </c>
      <c r="F191" s="19">
        <f>F158+F162+F183+F187</f>
        <v>50992</v>
      </c>
      <c r="G191" s="19">
        <f>SUM(C191:F191)</f>
        <v>285263</v>
      </c>
    </row>
    <row r="192" spans="2:8" x14ac:dyDescent="0.25">
      <c r="B192" s="18" t="s">
        <v>109</v>
      </c>
      <c r="C192" s="19">
        <f>C188+C163+C184</f>
        <v>234.93116299999997</v>
      </c>
      <c r="D192" s="19">
        <v>4325.2594316759905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5625.9741606759908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96"/>
  <sheetViews>
    <sheetView zoomScaleNormal="100" workbookViewId="0">
      <selection activeCell="B128" sqref="B128:H128"/>
    </sheetView>
  </sheetViews>
  <sheetFormatPr baseColWidth="10" defaultColWidth="9.140625" defaultRowHeight="15" x14ac:dyDescent="0.25"/>
  <cols>
    <col min="1" max="1" width="2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55219</v>
      </c>
      <c r="D6" s="12">
        <v>8149</v>
      </c>
      <c r="E6" s="12">
        <v>8087</v>
      </c>
      <c r="F6" s="12">
        <v>9764</v>
      </c>
      <c r="G6" s="12">
        <f>+F6+E6+D6+C6</f>
        <v>81219</v>
      </c>
    </row>
    <row r="7" spans="1:7" x14ac:dyDescent="0.25">
      <c r="B7" s="14" t="s">
        <v>10</v>
      </c>
      <c r="C7" s="12">
        <v>555</v>
      </c>
      <c r="D7" s="12">
        <v>250</v>
      </c>
      <c r="E7" s="12">
        <v>24</v>
      </c>
      <c r="F7" s="12">
        <v>143</v>
      </c>
      <c r="G7" s="12">
        <f>+F7+E7+D7+C7</f>
        <v>972</v>
      </c>
    </row>
    <row r="8" spans="1:7" x14ac:dyDescent="0.25">
      <c r="B8" s="18" t="s">
        <v>11</v>
      </c>
      <c r="C8" s="25">
        <v>55774</v>
      </c>
      <c r="D8" s="25">
        <v>8399</v>
      </c>
      <c r="E8" s="25">
        <v>8111</v>
      </c>
      <c r="F8" s="25">
        <v>9907</v>
      </c>
      <c r="G8" s="25">
        <f>+F8+E8+D8+C8</f>
        <v>82191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771335</v>
      </c>
      <c r="D12" s="12">
        <v>100960</v>
      </c>
      <c r="E12" s="12">
        <v>40611</v>
      </c>
      <c r="F12" s="12">
        <v>0</v>
      </c>
      <c r="G12" s="17">
        <f>SUM(C12:F12)</f>
        <v>912906</v>
      </c>
    </row>
    <row r="13" spans="1:7" x14ac:dyDescent="0.25">
      <c r="B13" s="16" t="s">
        <v>15</v>
      </c>
      <c r="C13" s="12">
        <v>2533651</v>
      </c>
      <c r="D13" s="12">
        <v>562242</v>
      </c>
      <c r="E13" s="12">
        <v>229064</v>
      </c>
      <c r="F13" s="12">
        <v>0</v>
      </c>
      <c r="G13" s="17">
        <f>SUM(C13:F13)</f>
        <v>3324957</v>
      </c>
    </row>
    <row r="14" spans="1:7" x14ac:dyDescent="0.25">
      <c r="B14" s="18" t="s">
        <v>16</v>
      </c>
      <c r="C14" s="25">
        <v>3304986</v>
      </c>
      <c r="D14" s="25">
        <v>952486</v>
      </c>
      <c r="E14" s="25">
        <v>269675</v>
      </c>
      <c r="F14" s="25">
        <v>345948</v>
      </c>
      <c r="G14" s="19">
        <f>SUM(C14:F14)</f>
        <v>4873095</v>
      </c>
    </row>
    <row r="15" spans="1:7" x14ac:dyDescent="0.25">
      <c r="B15" s="18" t="s">
        <v>17</v>
      </c>
      <c r="C15" s="25">
        <v>532081</v>
      </c>
      <c r="D15" s="25">
        <v>170884</v>
      </c>
      <c r="E15" s="25">
        <v>3367</v>
      </c>
      <c r="F15" s="25">
        <v>148609</v>
      </c>
      <c r="G15" s="19">
        <f>SUM(C15:F15)</f>
        <v>854941</v>
      </c>
    </row>
    <row r="16" spans="1:7" x14ac:dyDescent="0.25">
      <c r="B16" s="18" t="s">
        <v>18</v>
      </c>
      <c r="C16" s="25">
        <v>3837067</v>
      </c>
      <c r="D16" s="25">
        <v>1123370</v>
      </c>
      <c r="E16" s="25">
        <v>273042</v>
      </c>
      <c r="F16" s="25">
        <v>494557</v>
      </c>
      <c r="G16" s="19">
        <f>SUM(C16:F16)</f>
        <v>5728036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2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3840540</v>
      </c>
      <c r="D21" s="19">
        <v>1123374</v>
      </c>
      <c r="E21" s="19">
        <v>273042</v>
      </c>
      <c r="F21" s="19">
        <f>F16</f>
        <v>494557</v>
      </c>
      <c r="G21" s="19">
        <f>SUM(C21:F21)</f>
        <v>5731513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409229</v>
      </c>
      <c r="D24" s="19">
        <v>206758</v>
      </c>
      <c r="E24" s="19">
        <v>151972</v>
      </c>
      <c r="F24" s="19">
        <v>685607</v>
      </c>
      <c r="G24" s="19">
        <f>SUM(C24:F24)</f>
        <v>1453566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4249769</v>
      </c>
      <c r="D27" s="19">
        <f>+D24+D21</f>
        <v>1330132</v>
      </c>
      <c r="E27" s="19">
        <f>+E21+E24</f>
        <v>425014</v>
      </c>
      <c r="F27" s="19">
        <f>+F24+F21</f>
        <v>1180164</v>
      </c>
      <c r="G27" s="19">
        <f>SUM(C27:F27)</f>
        <v>7185079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1290948</v>
      </c>
      <c r="D30" s="27">
        <v>129973</v>
      </c>
      <c r="E30" s="27">
        <v>77244</v>
      </c>
      <c r="F30" s="27">
        <v>197986</v>
      </c>
      <c r="G30" s="27">
        <f>SUM(C30:F30)</f>
        <v>1696151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4342133849977</v>
      </c>
      <c r="D33" s="27">
        <v>688940339735</v>
      </c>
      <c r="E33" s="27">
        <v>288589951334</v>
      </c>
      <c r="F33" s="27">
        <v>502377637894</v>
      </c>
      <c r="G33" s="27">
        <f>SUM(C33:F33)</f>
        <v>5822041778940</v>
      </c>
    </row>
    <row r="34" spans="2:9" x14ac:dyDescent="0.25">
      <c r="B34" s="14" t="s">
        <v>30</v>
      </c>
      <c r="C34" s="27">
        <v>174739523780</v>
      </c>
      <c r="D34" s="27">
        <v>73648185220</v>
      </c>
      <c r="E34" s="27">
        <v>46716724100</v>
      </c>
      <c r="F34" s="27">
        <v>209735422341</v>
      </c>
      <c r="G34" s="27">
        <f>SUM(C34:F34)</f>
        <v>504839855441</v>
      </c>
    </row>
    <row r="35" spans="2:9" x14ac:dyDescent="0.25">
      <c r="B35" s="39" t="s">
        <v>31</v>
      </c>
      <c r="C35" s="19">
        <v>4516873373757</v>
      </c>
      <c r="D35" s="19">
        <v>762588524955</v>
      </c>
      <c r="E35" s="19">
        <v>335306675434</v>
      </c>
      <c r="F35" s="19">
        <v>712113060235</v>
      </c>
      <c r="G35" s="40">
        <f>SUM(C35:F35)</f>
        <v>6326881634381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779485</v>
      </c>
      <c r="D40" s="27">
        <v>117104</v>
      </c>
      <c r="E40" s="27">
        <v>50700</v>
      </c>
      <c r="F40" s="27">
        <v>70437</v>
      </c>
      <c r="G40" s="27">
        <f>SUM(C40:F40)</f>
        <v>1017726</v>
      </c>
      <c r="H40" s="7"/>
      <c r="I40" s="7"/>
    </row>
    <row r="41" spans="2:9" x14ac:dyDescent="0.25">
      <c r="B41" s="14" t="s">
        <v>36</v>
      </c>
      <c r="C41" s="27">
        <f>5081534821/1000000</f>
        <v>5081.5348210000002</v>
      </c>
      <c r="D41" s="27">
        <v>1309.7530260000001</v>
      </c>
      <c r="E41" s="27">
        <v>556.6</v>
      </c>
      <c r="F41" s="12">
        <v>736.80748600000004</v>
      </c>
      <c r="G41" s="11">
        <f>SUM(C41:F41)</f>
        <v>7684.6953330000006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12">
        <v>3</v>
      </c>
      <c r="D44" s="12">
        <v>1</v>
      </c>
      <c r="E44" s="12">
        <v>0</v>
      </c>
      <c r="F44" s="27">
        <v>0</v>
      </c>
      <c r="G44" s="27">
        <f>SUM(C44:F44)</f>
        <v>4</v>
      </c>
      <c r="H44" s="7"/>
      <c r="I44" s="7"/>
    </row>
    <row r="45" spans="2:9" x14ac:dyDescent="0.25">
      <c r="B45" s="14" t="s">
        <v>39</v>
      </c>
      <c r="C45" s="12">
        <f>4791091/1000000</f>
        <v>4.7910909999999998</v>
      </c>
      <c r="D45" s="12">
        <v>8.6689999999999996E-3</v>
      </c>
      <c r="E45" s="12">
        <v>0</v>
      </c>
      <c r="F45" s="27">
        <v>0</v>
      </c>
      <c r="G45" s="11">
        <f>SUM(C45:F45)</f>
        <v>4.79976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122665</v>
      </c>
      <c r="D48" s="27">
        <v>71908</v>
      </c>
      <c r="E48" s="27">
        <v>15119</v>
      </c>
      <c r="F48" s="27">
        <v>68374</v>
      </c>
      <c r="G48" s="27">
        <f>SUM(C48:F48)</f>
        <v>278066</v>
      </c>
      <c r="H48" s="7"/>
      <c r="I48" s="7"/>
    </row>
    <row r="49" spans="2:9" x14ac:dyDescent="0.25">
      <c r="B49" s="14" t="s">
        <v>42</v>
      </c>
      <c r="C49" s="27">
        <f>(103149278126+2055897602)/1000000</f>
        <v>105205.175728</v>
      </c>
      <c r="D49" s="27">
        <v>28758</v>
      </c>
      <c r="E49" s="27">
        <v>13270.415000000001</v>
      </c>
      <c r="F49" s="12">
        <v>14589.719705</v>
      </c>
      <c r="G49" s="11">
        <f>SUM(C49:F49)</f>
        <v>161823.31043300001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12">
        <v>99135</v>
      </c>
      <c r="D55" s="12">
        <v>6401</v>
      </c>
      <c r="E55" s="12">
        <v>1456</v>
      </c>
      <c r="F55" s="12">
        <v>5131</v>
      </c>
      <c r="G55" s="27">
        <f t="shared" ref="G55:G71" si="0">SUM(C55:F55)</f>
        <v>112123</v>
      </c>
    </row>
    <row r="56" spans="2:9" x14ac:dyDescent="0.25">
      <c r="B56" s="14" t="s">
        <v>47</v>
      </c>
      <c r="C56" s="12">
        <v>84244.873084999999</v>
      </c>
      <c r="D56" s="12">
        <v>9781.1001520001701</v>
      </c>
      <c r="E56" s="12">
        <v>2130.0169729999998</v>
      </c>
      <c r="F56" s="12">
        <v>13159</v>
      </c>
      <c r="G56" s="27">
        <f t="shared" si="0"/>
        <v>109314.99021000018</v>
      </c>
    </row>
    <row r="57" spans="2:9" x14ac:dyDescent="0.25">
      <c r="B57" s="14" t="s">
        <v>48</v>
      </c>
      <c r="C57" s="12">
        <v>14.774963433701499</v>
      </c>
      <c r="D57" s="12">
        <v>39</v>
      </c>
      <c r="E57" s="12">
        <v>19.897664835164836</v>
      </c>
      <c r="F57" s="12">
        <v>29</v>
      </c>
      <c r="G57" s="27">
        <f>AVERAGE(C57:F57)</f>
        <v>25.668157067216583</v>
      </c>
    </row>
    <row r="58" spans="2:9" x14ac:dyDescent="0.25">
      <c r="B58" s="14" t="s">
        <v>49</v>
      </c>
      <c r="C58" s="12">
        <v>886410</v>
      </c>
      <c r="D58" s="12">
        <v>155349</v>
      </c>
      <c r="E58" s="12">
        <v>53217</v>
      </c>
      <c r="F58" s="12">
        <v>83623</v>
      </c>
      <c r="G58" s="27">
        <f t="shared" si="0"/>
        <v>1178599</v>
      </c>
    </row>
    <row r="59" spans="2:9" x14ac:dyDescent="0.25">
      <c r="B59" s="14" t="s">
        <v>50</v>
      </c>
      <c r="C59" s="12">
        <v>1936194.83534</v>
      </c>
      <c r="D59" s="12">
        <v>278046.47422899998</v>
      </c>
      <c r="E59" s="12">
        <v>109233.76270200001</v>
      </c>
      <c r="F59" s="12">
        <v>196276</v>
      </c>
      <c r="G59" s="11">
        <f t="shared" si="0"/>
        <v>2519751.0722709997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12">
        <v>4725</v>
      </c>
      <c r="D67" s="12">
        <v>2254</v>
      </c>
      <c r="E67" s="12">
        <v>1931</v>
      </c>
      <c r="F67" s="12">
        <v>13638</v>
      </c>
      <c r="G67" s="27">
        <f t="shared" si="0"/>
        <v>22548</v>
      </c>
    </row>
    <row r="68" spans="2:8" x14ac:dyDescent="0.25">
      <c r="B68" s="14" t="s">
        <v>47</v>
      </c>
      <c r="C68" s="12">
        <v>4334.8203549999998</v>
      </c>
      <c r="D68" s="12">
        <v>2408.3763610000101</v>
      </c>
      <c r="E68" s="12">
        <v>2281.5546159999999</v>
      </c>
      <c r="F68" s="12">
        <v>18095</v>
      </c>
      <c r="G68" s="27">
        <f t="shared" si="0"/>
        <v>27119.751332000007</v>
      </c>
    </row>
    <row r="69" spans="2:8" x14ac:dyDescent="0.25">
      <c r="B69" s="14" t="s">
        <v>48</v>
      </c>
      <c r="C69" s="12">
        <v>33.426666666666698</v>
      </c>
      <c r="D69" s="12">
        <v>55</v>
      </c>
      <c r="E69" s="12">
        <v>50.518384256861729</v>
      </c>
      <c r="F69" s="12">
        <v>38</v>
      </c>
      <c r="G69" s="27">
        <f>AVERAGE(C69:F69)</f>
        <v>44.23626273088211</v>
      </c>
    </row>
    <row r="70" spans="2:8" x14ac:dyDescent="0.25">
      <c r="B70" s="14" t="s">
        <v>49</v>
      </c>
      <c r="C70" s="12">
        <v>139706</v>
      </c>
      <c r="D70" s="12">
        <v>90948</v>
      </c>
      <c r="E70" s="12">
        <v>72673</v>
      </c>
      <c r="F70" s="12">
        <v>278278</v>
      </c>
      <c r="G70" s="27">
        <f t="shared" si="0"/>
        <v>581605</v>
      </c>
    </row>
    <row r="71" spans="2:8" x14ac:dyDescent="0.25">
      <c r="B71" s="14" t="s">
        <v>50</v>
      </c>
      <c r="C71" s="12">
        <v>148632.334569</v>
      </c>
      <c r="D71" s="12">
        <v>109260.893755</v>
      </c>
      <c r="E71" s="12">
        <v>79265.354716000002</v>
      </c>
      <c r="F71" s="12">
        <v>265297</v>
      </c>
      <c r="G71" s="11">
        <f t="shared" si="0"/>
        <v>602455.58303999994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103860</v>
      </c>
      <c r="D73" s="19">
        <v>8655</v>
      </c>
      <c r="E73" s="19">
        <v>3387</v>
      </c>
      <c r="F73" s="19">
        <v>18769</v>
      </c>
      <c r="G73" s="19">
        <f>SUM(C73:F73)</f>
        <v>134671</v>
      </c>
    </row>
    <row r="74" spans="2:8" x14ac:dyDescent="0.25">
      <c r="B74" s="18" t="s">
        <v>47</v>
      </c>
      <c r="C74" s="19">
        <f>+C56+C68</f>
        <v>88579.693440000003</v>
      </c>
      <c r="D74" s="19">
        <v>12189.47651300018</v>
      </c>
      <c r="E74" s="19">
        <v>4411.5715889999992</v>
      </c>
      <c r="F74" s="19">
        <v>31254</v>
      </c>
      <c r="G74" s="22">
        <f>SUM(C74:F74)</f>
        <v>136434.74154200018</v>
      </c>
    </row>
    <row r="75" spans="2:8" x14ac:dyDescent="0.25">
      <c r="B75" s="18" t="s">
        <v>48</v>
      </c>
      <c r="C75" s="19">
        <v>18.377500734874602</v>
      </c>
      <c r="D75" s="19">
        <v>31.333333333333332</v>
      </c>
      <c r="E75" s="19">
        <v>37.355181576616474</v>
      </c>
      <c r="F75" s="19">
        <v>33.5</v>
      </c>
      <c r="G75" s="19">
        <f>AVERAGE(C75:F75)</f>
        <v>30.141503911206101</v>
      </c>
    </row>
    <row r="76" spans="2:8" x14ac:dyDescent="0.25">
      <c r="B76" s="18" t="s">
        <v>49</v>
      </c>
      <c r="C76" s="19">
        <f>+C58+C70</f>
        <v>1026116</v>
      </c>
      <c r="D76" s="19">
        <v>246297</v>
      </c>
      <c r="E76" s="19">
        <v>125890</v>
      </c>
      <c r="F76" s="19">
        <v>361901</v>
      </c>
      <c r="G76" s="19">
        <f>SUM(C76:F76)</f>
        <v>1760204</v>
      </c>
    </row>
    <row r="77" spans="2:8" x14ac:dyDescent="0.25">
      <c r="B77" s="18" t="s">
        <v>50</v>
      </c>
      <c r="C77" s="19">
        <f>+C59+C71</f>
        <v>2084827.1699089999</v>
      </c>
      <c r="D77" s="19">
        <v>387307.36798400001</v>
      </c>
      <c r="E77" s="19">
        <v>188499.11741800001</v>
      </c>
      <c r="F77" s="19">
        <v>461573</v>
      </c>
      <c r="G77" s="22">
        <f>SUM(C77:F77)</f>
        <v>3122206.6553110001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980</v>
      </c>
      <c r="D84" s="24">
        <v>113</v>
      </c>
      <c r="E84" s="24">
        <v>6</v>
      </c>
      <c r="F84" s="24">
        <v>91</v>
      </c>
      <c r="G84" s="24">
        <f>SUM(C84:F84)</f>
        <v>1190</v>
      </c>
    </row>
    <row r="85" spans="2:7" x14ac:dyDescent="0.25">
      <c r="B85" s="14" t="s">
        <v>50</v>
      </c>
      <c r="C85" s="24">
        <v>21089.245821</v>
      </c>
      <c r="D85" s="24">
        <v>1430</v>
      </c>
      <c r="E85" s="24">
        <v>75</v>
      </c>
      <c r="F85" s="27">
        <v>1671.7858550000001</v>
      </c>
      <c r="G85" s="11">
        <f>SUM(C85:F85)</f>
        <v>24266.031675999999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170.79396700000001</v>
      </c>
      <c r="D97" s="24">
        <v>0</v>
      </c>
      <c r="E97" s="24">
        <v>0</v>
      </c>
      <c r="F97" s="24">
        <v>76.814099999999996</v>
      </c>
      <c r="G97" s="11">
        <f>SUM(C97:F97)</f>
        <v>247.60806700000001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990</v>
      </c>
      <c r="D102" s="45">
        <v>113</v>
      </c>
      <c r="E102" s="45">
        <f>+E84</f>
        <v>6</v>
      </c>
      <c r="F102" s="45">
        <f>+F96+F84</f>
        <v>97</v>
      </c>
      <c r="G102" s="19">
        <f>SUM(C102:F102)</f>
        <v>1206</v>
      </c>
    </row>
    <row r="103" spans="2:8" x14ac:dyDescent="0.25">
      <c r="B103" s="18" t="s">
        <v>50</v>
      </c>
      <c r="C103" s="45">
        <f>+C97+C85</f>
        <v>21260.039788000002</v>
      </c>
      <c r="D103" s="45">
        <v>1430</v>
      </c>
      <c r="E103" s="45">
        <f>+E85</f>
        <v>75</v>
      </c>
      <c r="F103" s="43">
        <f>+F85+F97</f>
        <v>1748.5999550000001</v>
      </c>
      <c r="G103" s="22">
        <f>SUM(C103:F103)</f>
        <v>24513.639743000003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2.8102631783273737</v>
      </c>
      <c r="D107" s="13">
        <v>2.5499999999999998</v>
      </c>
      <c r="E107" s="30">
        <v>2.8527542372881358</v>
      </c>
      <c r="F107" s="13">
        <v>2.54</v>
      </c>
      <c r="G107" s="13">
        <f>AVERAGE(C107:F107)</f>
        <v>2.6882543539038775</v>
      </c>
    </row>
    <row r="108" spans="2:8" x14ac:dyDescent="0.25">
      <c r="B108" s="14" t="s">
        <v>60</v>
      </c>
      <c r="C108" s="13">
        <v>2.2272689443713438</v>
      </c>
      <c r="D108" s="13">
        <v>2.59</v>
      </c>
      <c r="E108" s="30">
        <v>2.6284910485933506</v>
      </c>
      <c r="F108" s="13">
        <v>2.58</v>
      </c>
      <c r="G108" s="13">
        <f>AVERAGE(C108:F108)</f>
        <v>2.5064399982411736</v>
      </c>
    </row>
    <row r="109" spans="2:8" x14ac:dyDescent="0.25">
      <c r="B109" s="14" t="s">
        <v>61</v>
      </c>
      <c r="C109" s="13">
        <v>2.035583751445992</v>
      </c>
      <c r="D109" s="13">
        <v>2.59</v>
      </c>
      <c r="E109" s="30">
        <v>2.6309473684210527</v>
      </c>
      <c r="F109" s="13">
        <v>2.58</v>
      </c>
      <c r="G109" s="13">
        <f>AVERAGE(C109:F109)</f>
        <v>2.4591327799667613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0">
        <v>1.8</v>
      </c>
      <c r="F111" s="30">
        <v>1.8</v>
      </c>
      <c r="G111" s="13">
        <f>AVERAGE(C111:F111)</f>
        <v>1.8875</v>
      </c>
    </row>
    <row r="112" spans="2:8" x14ac:dyDescent="0.25">
      <c r="B112" s="14" t="s">
        <v>60</v>
      </c>
      <c r="C112" s="13">
        <v>1.9900000000000038</v>
      </c>
      <c r="D112" s="13">
        <v>2.13</v>
      </c>
      <c r="E112" s="30">
        <v>2.0915789473684212</v>
      </c>
      <c r="F112" s="13">
        <v>2.12</v>
      </c>
      <c r="G112" s="13">
        <f>AVERAGE(C112:F112)</f>
        <v>2.082894736842106</v>
      </c>
    </row>
    <row r="113" spans="2:9" x14ac:dyDescent="0.25">
      <c r="B113" s="14" t="s">
        <v>61</v>
      </c>
      <c r="C113" s="13">
        <v>1.9774899860675583</v>
      </c>
      <c r="D113" s="13">
        <v>2.13</v>
      </c>
      <c r="E113" s="30">
        <v>2.0877777777777777</v>
      </c>
      <c r="F113" s="13">
        <v>2.12</v>
      </c>
      <c r="G113" s="13">
        <f>AVERAGE(C113:F113)</f>
        <v>2.0788169409613344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1.4787413701540246</v>
      </c>
      <c r="D116" s="13">
        <v>1.79</v>
      </c>
      <c r="E116" s="30">
        <v>1.9502830188679245</v>
      </c>
      <c r="F116" s="13">
        <v>1.78</v>
      </c>
      <c r="G116" s="13">
        <f>AVERAGE(C116:F116)</f>
        <v>1.7497560972554873</v>
      </c>
    </row>
    <row r="117" spans="2:9" x14ac:dyDescent="0.25">
      <c r="B117" s="14" t="s">
        <v>60</v>
      </c>
      <c r="C117" s="13">
        <v>1.7458381808567593</v>
      </c>
      <c r="D117" s="13">
        <v>1.79</v>
      </c>
      <c r="E117" s="30">
        <v>1.9445522388059699</v>
      </c>
      <c r="F117" s="13">
        <v>1.78</v>
      </c>
      <c r="G117" s="13">
        <f>AVERAGE(C117:F117)</f>
        <v>1.8150976049156824</v>
      </c>
    </row>
    <row r="118" spans="2:9" x14ac:dyDescent="0.25">
      <c r="B118" s="14" t="s">
        <v>61</v>
      </c>
      <c r="C118" s="13">
        <v>1.7137486041317849</v>
      </c>
      <c r="D118" s="13">
        <v>1.74</v>
      </c>
      <c r="E118" s="30">
        <v>1.9896942204301076</v>
      </c>
      <c r="F118" s="13">
        <v>1.74</v>
      </c>
      <c r="G118" s="13">
        <f>AVERAGE(C118:F118)</f>
        <v>1.795860706140473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1.27</v>
      </c>
      <c r="D120" s="13">
        <v>1.43</v>
      </c>
      <c r="E120" s="30">
        <v>0</v>
      </c>
      <c r="F120" s="13">
        <v>1.2</v>
      </c>
      <c r="G120" s="13">
        <f>AVERAGE(C120:F120)</f>
        <v>0.97500000000000009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1.5750819672131147</v>
      </c>
      <c r="F122" s="13">
        <v>1.43</v>
      </c>
      <c r="G122" s="13">
        <f>AVERAGE(C122:F122)</f>
        <v>1.4662704918032785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37">
        <v>2</v>
      </c>
      <c r="D127" s="37">
        <v>2.1056550000000001</v>
      </c>
      <c r="E127" s="33">
        <v>2.2753869080392048</v>
      </c>
      <c r="F127" s="4">
        <v>0</v>
      </c>
      <c r="G127" s="11">
        <f>AVERAGE(C127:E127)</f>
        <v>2.1270139693464016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238401</v>
      </c>
      <c r="D130" s="27">
        <v>3447</v>
      </c>
      <c r="E130" s="27">
        <v>8103</v>
      </c>
      <c r="F130" s="27">
        <v>766</v>
      </c>
      <c r="G130" s="27">
        <f>SUM(C130:F130)</f>
        <v>250717</v>
      </c>
    </row>
    <row r="131" spans="2:9" x14ac:dyDescent="0.25">
      <c r="B131" s="14" t="s">
        <v>71</v>
      </c>
      <c r="C131" s="27">
        <v>159261.653028</v>
      </c>
      <c r="D131" s="27">
        <v>3897</v>
      </c>
      <c r="E131" s="27">
        <v>977</v>
      </c>
      <c r="F131" s="27">
        <v>777.33605499999999</v>
      </c>
      <c r="G131" s="11">
        <f>SUM(C131:F131)</f>
        <v>164912.98908299999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837717</v>
      </c>
      <c r="D134" s="27">
        <v>400008</v>
      </c>
      <c r="E134" s="27">
        <v>146107</v>
      </c>
      <c r="F134" s="27">
        <v>344828</v>
      </c>
      <c r="G134" s="27">
        <f>SUM(C134:F134)</f>
        <v>1728660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15045</v>
      </c>
      <c r="G138" s="27">
        <f>SUM(C138:F138)</f>
        <v>15045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229</v>
      </c>
      <c r="G139" s="27">
        <f>SUM(C139:F139)</f>
        <v>229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881</v>
      </c>
      <c r="E146" s="27">
        <v>0</v>
      </c>
      <c r="F146" s="27">
        <v>1571</v>
      </c>
      <c r="G146" s="27">
        <f>SUM(C146:F146)</f>
        <v>2452</v>
      </c>
    </row>
    <row r="147" spans="2:8" x14ac:dyDescent="0.25">
      <c r="B147" s="14" t="s">
        <v>82</v>
      </c>
      <c r="C147" s="27">
        <v>0</v>
      </c>
      <c r="D147" s="27">
        <v>19.329999999999998</v>
      </c>
      <c r="E147" s="27">
        <v>0</v>
      </c>
      <c r="F147" s="27">
        <v>16.204750000000001</v>
      </c>
      <c r="G147" s="11">
        <f>SUM(C147:F147)</f>
        <v>35.534750000000003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372</v>
      </c>
      <c r="E154" s="35">
        <v>0</v>
      </c>
      <c r="F154" s="34">
        <v>0</v>
      </c>
      <c r="G154" s="27">
        <f>SUM(C154:F154)</f>
        <v>372</v>
      </c>
      <c r="H154"/>
    </row>
    <row r="155" spans="2:8" x14ac:dyDescent="0.25">
      <c r="B155" s="14" t="s">
        <v>88</v>
      </c>
      <c r="C155" s="11">
        <v>0</v>
      </c>
      <c r="D155" s="27">
        <v>5.95</v>
      </c>
      <c r="E155" s="35">
        <v>0</v>
      </c>
      <c r="F155" s="34">
        <v>0</v>
      </c>
      <c r="G155" s="11">
        <f>SUM(C155:F155)</f>
        <v>5.95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1257</v>
      </c>
      <c r="E158" s="19">
        <v>0</v>
      </c>
      <c r="F158" s="19">
        <f>F146+F154</f>
        <v>1571</v>
      </c>
      <c r="G158" s="19">
        <f>SUM(C158:F158)</f>
        <v>2828</v>
      </c>
    </row>
    <row r="159" spans="2:8" x14ac:dyDescent="0.25">
      <c r="B159" s="18" t="s">
        <v>91</v>
      </c>
      <c r="C159" s="19">
        <v>0</v>
      </c>
      <c r="D159" s="19">
        <v>25.563999999999997</v>
      </c>
      <c r="E159" s="19">
        <v>0</v>
      </c>
      <c r="F159" s="19">
        <f>F147+F155</f>
        <v>16.204750000000001</v>
      </c>
      <c r="G159" s="22">
        <f>SUM(C159:F159)</f>
        <v>41.768749999999997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2813</v>
      </c>
      <c r="D162" s="27">
        <v>51192</v>
      </c>
      <c r="E162" s="27">
        <v>7026</v>
      </c>
      <c r="F162" s="27">
        <v>34379</v>
      </c>
      <c r="G162" s="27">
        <f>SUM(C162:F162)</f>
        <v>95410</v>
      </c>
    </row>
    <row r="163" spans="2:8" x14ac:dyDescent="0.25">
      <c r="B163" s="14" t="s">
        <v>88</v>
      </c>
      <c r="C163" s="27">
        <f>68108861/1000000</f>
        <v>68.108861000000005</v>
      </c>
      <c r="D163" s="27">
        <v>86.501646999999991</v>
      </c>
      <c r="E163" s="27">
        <v>109.55537699999999</v>
      </c>
      <c r="F163" s="27">
        <v>229.88298399999999</v>
      </c>
      <c r="G163" s="11">
        <f>SUM(C163:F163)</f>
        <v>494.04886899999997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882</v>
      </c>
      <c r="D167" s="27">
        <v>3884</v>
      </c>
      <c r="E167" s="27">
        <v>65</v>
      </c>
      <c r="F167" s="27">
        <v>601</v>
      </c>
      <c r="G167" s="27">
        <f>SUM(C167:F167)</f>
        <v>5432</v>
      </c>
    </row>
    <row r="168" spans="2:8" x14ac:dyDescent="0.25">
      <c r="B168" s="14" t="s">
        <v>96</v>
      </c>
      <c r="C168" s="27">
        <f>30870000/1000000</f>
        <v>30.87</v>
      </c>
      <c r="D168" s="27">
        <v>94.396374000000009</v>
      </c>
      <c r="E168" s="27">
        <v>3.6</v>
      </c>
      <c r="F168" s="27">
        <v>22.76</v>
      </c>
      <c r="G168" s="11">
        <f>SUM(C168:F168)</f>
        <v>151.626374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2220</v>
      </c>
      <c r="D171" s="27">
        <v>432</v>
      </c>
      <c r="E171" s="27">
        <v>125</v>
      </c>
      <c r="F171" s="27">
        <v>402</v>
      </c>
      <c r="G171" s="27">
        <f>SUM(C171:F171)</f>
        <v>3179</v>
      </c>
    </row>
    <row r="172" spans="2:8" x14ac:dyDescent="0.25">
      <c r="B172" s="14" t="s">
        <v>96</v>
      </c>
      <c r="C172" s="27">
        <f>77700000/1000000</f>
        <v>77.7</v>
      </c>
      <c r="D172" s="27">
        <v>9.0719999999999992</v>
      </c>
      <c r="E172" s="27">
        <v>3.1</v>
      </c>
      <c r="F172" s="27">
        <v>10.023</v>
      </c>
      <c r="G172" s="11">
        <f>SUM(C172:F172)</f>
        <v>99.894999999999996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286</v>
      </c>
      <c r="D175" s="27">
        <v>387</v>
      </c>
      <c r="E175" s="27">
        <v>203</v>
      </c>
      <c r="F175" s="27">
        <v>41</v>
      </c>
      <c r="G175" s="27">
        <f>SUM(C175:F175)</f>
        <v>917</v>
      </c>
    </row>
    <row r="176" spans="2:8" x14ac:dyDescent="0.25">
      <c r="B176" s="14" t="s">
        <v>96</v>
      </c>
      <c r="C176" s="27">
        <f>29840000/1000000</f>
        <v>29.84</v>
      </c>
      <c r="D176" s="27">
        <v>40.770000000000003</v>
      </c>
      <c r="E176" s="27">
        <v>11.26</v>
      </c>
      <c r="F176" s="27">
        <v>4.2350000000000003</v>
      </c>
      <c r="G176" s="11">
        <f>SUM(C176:F176)</f>
        <v>86.105000000000004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321</v>
      </c>
      <c r="D179" s="27">
        <v>182193</v>
      </c>
      <c r="E179" s="27">
        <v>0</v>
      </c>
      <c r="F179" s="27">
        <v>0</v>
      </c>
      <c r="G179" s="27">
        <f>SUM(C179:F179)</f>
        <v>182514</v>
      </c>
    </row>
    <row r="180" spans="2:8" x14ac:dyDescent="0.25">
      <c r="B180" s="14" t="s">
        <v>96</v>
      </c>
      <c r="C180" s="27">
        <f>13020000/1000000</f>
        <v>13.02</v>
      </c>
      <c r="D180" s="27">
        <v>4367.8774912667304</v>
      </c>
      <c r="E180" s="27">
        <v>0</v>
      </c>
      <c r="F180" s="27">
        <v>0</v>
      </c>
      <c r="G180" s="11">
        <f>SUM(C180:F180)</f>
        <v>4380.8974912667309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3709</v>
      </c>
      <c r="D183" s="19">
        <v>186896</v>
      </c>
      <c r="E183" s="19">
        <v>393</v>
      </c>
      <c r="F183" s="19">
        <f>+F179+F175+F171+F167</f>
        <v>1044</v>
      </c>
      <c r="G183" s="19">
        <f>SUM(C183:F183)</f>
        <v>192042</v>
      </c>
    </row>
    <row r="184" spans="2:8" x14ac:dyDescent="0.25">
      <c r="B184" s="18" t="s">
        <v>103</v>
      </c>
      <c r="C184" s="19">
        <f>+C180+C176+C172+C168</f>
        <v>151.43</v>
      </c>
      <c r="D184" s="19">
        <v>4512.1158652667309</v>
      </c>
      <c r="E184" s="19">
        <v>17.96</v>
      </c>
      <c r="F184" s="19">
        <f>+F180+F176+F172+F168</f>
        <v>37.018000000000001</v>
      </c>
      <c r="G184" s="22">
        <f>SUM(C184:F184)</f>
        <v>4718.5238652667313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2571</v>
      </c>
      <c r="D187" s="27">
        <v>4946</v>
      </c>
      <c r="E187" s="27">
        <v>93</v>
      </c>
      <c r="F187" s="27">
        <f>F162+F167+F171+F175+F158</f>
        <v>36994</v>
      </c>
      <c r="G187" s="27">
        <f>SUM(C187:F187)</f>
        <v>44604</v>
      </c>
    </row>
    <row r="188" spans="2:8" x14ac:dyDescent="0.25">
      <c r="B188" s="14" t="s">
        <v>106</v>
      </c>
      <c r="C188" s="27">
        <f>25008980/1000000</f>
        <v>25.008980000000001</v>
      </c>
      <c r="D188" s="27">
        <v>334.59824400000002</v>
      </c>
      <c r="E188" s="27">
        <v>3.65</v>
      </c>
      <c r="F188" s="27">
        <f>F163+F168+F172+F176+F159</f>
        <v>283.10573399999998</v>
      </c>
      <c r="G188" s="11">
        <f>SUM(C188:F188)</f>
        <v>646.36295799999994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9093</v>
      </c>
      <c r="D191" s="19">
        <v>244291</v>
      </c>
      <c r="E191" s="19">
        <v>7512</v>
      </c>
      <c r="F191" s="19">
        <f>F158+F162+F187+F183</f>
        <v>73988</v>
      </c>
      <c r="G191" s="19">
        <f>SUM(C191:F191)</f>
        <v>334884</v>
      </c>
    </row>
    <row r="192" spans="2:8" x14ac:dyDescent="0.25">
      <c r="B192" s="18" t="s">
        <v>109</v>
      </c>
      <c r="C192" s="19">
        <f>C188+C163+C184</f>
        <v>244.54784100000001</v>
      </c>
      <c r="D192" s="19">
        <v>4958.7797562667311</v>
      </c>
      <c r="E192" s="19">
        <v>131.16537700000001</v>
      </c>
      <c r="F192" s="19">
        <f>F159+F184+F163+F188</f>
        <v>566.21146799999997</v>
      </c>
      <c r="G192" s="22">
        <f>SUM(C192:F192)</f>
        <v>5900.7044422667313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96"/>
  <sheetViews>
    <sheetView topLeftCell="A173" zoomScaleNormal="100" workbookViewId="0">
      <selection activeCell="F184" sqref="F184"/>
    </sheetView>
  </sheetViews>
  <sheetFormatPr baseColWidth="10" defaultColWidth="9.140625" defaultRowHeight="15" x14ac:dyDescent="0.25"/>
  <cols>
    <col min="1" max="1" width="3.7109375" style="1" customWidth="1"/>
    <col min="2" max="2" width="48.140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55109</v>
      </c>
      <c r="D6" s="12">
        <v>8137</v>
      </c>
      <c r="E6" s="17">
        <v>8057</v>
      </c>
      <c r="F6" s="12">
        <v>9731</v>
      </c>
      <c r="G6" s="12">
        <f>+F6+E6+D6+C6</f>
        <v>81034</v>
      </c>
    </row>
    <row r="7" spans="1:7" x14ac:dyDescent="0.25">
      <c r="B7" s="14" t="s">
        <v>10</v>
      </c>
      <c r="C7" s="12">
        <v>556</v>
      </c>
      <c r="D7" s="12">
        <v>251</v>
      </c>
      <c r="E7" s="17">
        <v>24</v>
      </c>
      <c r="F7" s="12">
        <v>144</v>
      </c>
      <c r="G7" s="12">
        <f>+F7+E7+D7+C7</f>
        <v>975</v>
      </c>
    </row>
    <row r="8" spans="1:7" x14ac:dyDescent="0.25">
      <c r="B8" s="18" t="s">
        <v>11</v>
      </c>
      <c r="C8" s="25">
        <v>55665</v>
      </c>
      <c r="D8" s="25">
        <v>8388</v>
      </c>
      <c r="E8" s="25">
        <v>8081</v>
      </c>
      <c r="F8" s="25">
        <v>9875</v>
      </c>
      <c r="G8" s="25">
        <f>+F8+E8+D8+C8</f>
        <v>82009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771855</v>
      </c>
      <c r="D12" s="12">
        <v>100213</v>
      </c>
      <c r="E12" s="12">
        <v>40424</v>
      </c>
      <c r="F12" s="12">
        <v>0</v>
      </c>
      <c r="G12" s="17">
        <f>SUM(C12:F12)</f>
        <v>912492</v>
      </c>
    </row>
    <row r="13" spans="1:7" x14ac:dyDescent="0.25">
      <c r="B13" s="16" t="s">
        <v>15</v>
      </c>
      <c r="C13" s="12">
        <v>2571856</v>
      </c>
      <c r="D13" s="12">
        <v>569055</v>
      </c>
      <c r="E13" s="12">
        <v>229082</v>
      </c>
      <c r="F13" s="12">
        <v>0</v>
      </c>
      <c r="G13" s="17">
        <f>SUM(C13:F13)</f>
        <v>3369993</v>
      </c>
    </row>
    <row r="14" spans="1:7" x14ac:dyDescent="0.25">
      <c r="B14" s="18" t="s">
        <v>16</v>
      </c>
      <c r="C14" s="25">
        <v>3343711</v>
      </c>
      <c r="D14" s="25">
        <v>950084</v>
      </c>
      <c r="E14" s="25">
        <v>269506</v>
      </c>
      <c r="F14" s="25">
        <v>345728</v>
      </c>
      <c r="G14" s="19">
        <f>SUM(C14:F14)</f>
        <v>4909029</v>
      </c>
    </row>
    <row r="15" spans="1:7" x14ac:dyDescent="0.25">
      <c r="B15" s="18" t="s">
        <v>17</v>
      </c>
      <c r="C15" s="25">
        <v>528257</v>
      </c>
      <c r="D15" s="25">
        <v>171069</v>
      </c>
      <c r="E15" s="25">
        <v>3381</v>
      </c>
      <c r="F15" s="25">
        <v>149336</v>
      </c>
      <c r="G15" s="19">
        <f>SUM(C15:F15)</f>
        <v>852043</v>
      </c>
    </row>
    <row r="16" spans="1:7" x14ac:dyDescent="0.25">
      <c r="B16" s="18" t="s">
        <v>18</v>
      </c>
      <c r="C16" s="25">
        <v>3871968</v>
      </c>
      <c r="D16" s="25">
        <v>1121153</v>
      </c>
      <c r="E16" s="25">
        <v>272887</v>
      </c>
      <c r="F16" s="25">
        <v>495064</v>
      </c>
      <c r="G16" s="19">
        <f>SUM(C16:F16)</f>
        <v>5761072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41">
        <v>3472</v>
      </c>
      <c r="D19" s="27">
        <v>4</v>
      </c>
      <c r="E19" s="27">
        <v>0</v>
      </c>
      <c r="F19" s="27">
        <v>0</v>
      </c>
      <c r="G19" s="27">
        <f>SUM(C19:F19)</f>
        <v>3476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3875440</v>
      </c>
      <c r="D21" s="19">
        <v>1121157</v>
      </c>
      <c r="E21" s="19">
        <v>272887</v>
      </c>
      <c r="F21" s="19">
        <v>495064</v>
      </c>
      <c r="G21" s="19">
        <f>SUM(C21:F21)</f>
        <v>5764548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409531</v>
      </c>
      <c r="D24" s="19">
        <v>207404</v>
      </c>
      <c r="E24" s="47">
        <v>153271</v>
      </c>
      <c r="F24" s="19">
        <v>686135</v>
      </c>
      <c r="G24" s="19">
        <f>SUM(C24:F24)</f>
        <v>1456341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4284971</v>
      </c>
      <c r="D27" s="19">
        <f>+D24+D21</f>
        <v>1328561</v>
      </c>
      <c r="E27" s="19">
        <f>+E21+E24</f>
        <v>426158</v>
      </c>
      <c r="F27" s="19">
        <f>+F24+F21</f>
        <v>1181199</v>
      </c>
      <c r="G27" s="19">
        <f>SUM(C27:F27)</f>
        <v>7220889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1303223</v>
      </c>
      <c r="D30" s="27">
        <v>118382</v>
      </c>
      <c r="E30" s="27">
        <v>72104</v>
      </c>
      <c r="F30" s="27">
        <v>191540</v>
      </c>
      <c r="G30" s="27">
        <f>SUM(C30:F30)</f>
        <v>1685249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4227988690701</v>
      </c>
      <c r="D33" s="27">
        <v>710575792957</v>
      </c>
      <c r="E33" s="27">
        <v>267133730080</v>
      </c>
      <c r="F33" s="27">
        <v>473113469339</v>
      </c>
      <c r="G33" s="27">
        <f>SUM(C33:F33)</f>
        <v>5678811683077</v>
      </c>
    </row>
    <row r="34" spans="2:9" x14ac:dyDescent="0.25">
      <c r="B34" s="14" t="s">
        <v>30</v>
      </c>
      <c r="C34" s="27">
        <v>176778954513</v>
      </c>
      <c r="D34" s="27">
        <v>73910443861</v>
      </c>
      <c r="E34" s="27">
        <v>47463076500</v>
      </c>
      <c r="F34" s="27">
        <v>212172047577</v>
      </c>
      <c r="G34" s="27">
        <f>SUM(C34:F34)</f>
        <v>510324522451</v>
      </c>
    </row>
    <row r="35" spans="2:9" x14ac:dyDescent="0.25">
      <c r="B35" s="39" t="s">
        <v>31</v>
      </c>
      <c r="C35" s="19">
        <v>4404767645214</v>
      </c>
      <c r="D35" s="19">
        <v>784486236818</v>
      </c>
      <c r="E35" s="19">
        <v>314596806580</v>
      </c>
      <c r="F35" s="19">
        <v>685285516916</v>
      </c>
      <c r="G35" s="40">
        <f>SUM(C35:F35)</f>
        <v>6189136205528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761699</v>
      </c>
      <c r="D40" s="27">
        <v>110232</v>
      </c>
      <c r="E40" s="46">
        <v>47043</v>
      </c>
      <c r="F40" s="27">
        <v>64947</v>
      </c>
      <c r="G40" s="27">
        <f>SUM(C40:F40)</f>
        <v>983921</v>
      </c>
      <c r="H40" s="7"/>
      <c r="I40" s="7"/>
    </row>
    <row r="41" spans="2:9" x14ac:dyDescent="0.25">
      <c r="B41" s="14" t="s">
        <v>36</v>
      </c>
      <c r="C41" s="27">
        <v>4753.8182589999997</v>
      </c>
      <c r="D41" s="27">
        <v>1235.1763559999999</v>
      </c>
      <c r="E41" s="46">
        <v>509.5</v>
      </c>
      <c r="F41" s="27">
        <v>673.37820299999998</v>
      </c>
      <c r="G41" s="11">
        <f>SUM(C41:F41)</f>
        <v>7171.8728179999998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>
        <v>6</v>
      </c>
      <c r="D44" s="27">
        <v>2</v>
      </c>
      <c r="E44" s="27">
        <v>0</v>
      </c>
      <c r="F44" s="27">
        <v>0</v>
      </c>
      <c r="G44" s="27">
        <f>SUM(C44:F44)</f>
        <v>8</v>
      </c>
      <c r="H44" s="7"/>
      <c r="I44" s="7"/>
    </row>
    <row r="45" spans="2:9" x14ac:dyDescent="0.25">
      <c r="B45" s="14" t="s">
        <v>39</v>
      </c>
      <c r="C45" s="27">
        <v>4.7044750000000004</v>
      </c>
      <c r="D45" s="27">
        <v>3.4675999999999998E-2</v>
      </c>
      <c r="E45" s="27">
        <v>0</v>
      </c>
      <c r="F45" s="27">
        <v>0</v>
      </c>
      <c r="G45" s="11">
        <f>SUM(C45:F45)</f>
        <v>4.7391510000000006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182707</v>
      </c>
      <c r="D48" s="27">
        <v>81978</v>
      </c>
      <c r="E48" s="27">
        <v>12142</v>
      </c>
      <c r="F48" s="27">
        <v>61396</v>
      </c>
      <c r="G48" s="27">
        <f>SUM(C48:F48)</f>
        <v>338223</v>
      </c>
      <c r="H48" s="7"/>
      <c r="I48" s="7"/>
    </row>
    <row r="49" spans="2:9" x14ac:dyDescent="0.25">
      <c r="B49" s="14" t="s">
        <v>42</v>
      </c>
      <c r="C49" s="27">
        <v>92255.212675000002</v>
      </c>
      <c r="D49" s="27">
        <v>31843</v>
      </c>
      <c r="E49" s="27">
        <v>11204.49193</v>
      </c>
      <c r="F49" s="27">
        <v>12998.834349999999</v>
      </c>
      <c r="G49" s="11">
        <f>SUM(C49:F49)</f>
        <v>148301.538955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102606</v>
      </c>
      <c r="D55" s="27">
        <v>6656</v>
      </c>
      <c r="E55" s="28">
        <v>1481</v>
      </c>
      <c r="F55" s="27">
        <v>3618</v>
      </c>
      <c r="G55" s="27">
        <f t="shared" ref="G55:G71" si="0">SUM(C55:F55)</f>
        <v>114361</v>
      </c>
    </row>
    <row r="56" spans="2:9" x14ac:dyDescent="0.25">
      <c r="B56" s="14" t="s">
        <v>47</v>
      </c>
      <c r="C56" s="27">
        <v>77371.223704999997</v>
      </c>
      <c r="D56" s="27">
        <v>10056.1680550002</v>
      </c>
      <c r="E56" s="28">
        <v>2133.5917169999998</v>
      </c>
      <c r="F56" s="27">
        <v>5755</v>
      </c>
      <c r="G56" s="27">
        <f t="shared" si="0"/>
        <v>95315.983477000205</v>
      </c>
    </row>
    <row r="57" spans="2:9" x14ac:dyDescent="0.25">
      <c r="B57" s="14" t="s">
        <v>48</v>
      </c>
      <c r="C57" s="27">
        <v>13.524316316784599</v>
      </c>
      <c r="D57" s="27">
        <v>38</v>
      </c>
      <c r="E57" s="48">
        <v>20.263335584064823</v>
      </c>
      <c r="F57" s="27">
        <v>22</v>
      </c>
      <c r="G57" s="27">
        <f>AVERAGE(C57:F57)</f>
        <v>23.446912975212356</v>
      </c>
    </row>
    <row r="58" spans="2:9" x14ac:dyDescent="0.25">
      <c r="B58" s="14" t="s">
        <v>49</v>
      </c>
      <c r="C58" s="27">
        <v>902018</v>
      </c>
      <c r="D58" s="27">
        <v>157033</v>
      </c>
      <c r="E58" s="28">
        <v>53403</v>
      </c>
      <c r="F58" s="27">
        <v>84317</v>
      </c>
      <c r="G58" s="27">
        <f t="shared" si="0"/>
        <v>1196771</v>
      </c>
    </row>
    <row r="59" spans="2:9" x14ac:dyDescent="0.25">
      <c r="B59" s="14" t="s">
        <v>50</v>
      </c>
      <c r="C59" s="27">
        <v>1971992</v>
      </c>
      <c r="D59" s="27">
        <v>284500.54552500002</v>
      </c>
      <c r="E59" s="49">
        <v>109375.89469099999</v>
      </c>
      <c r="F59" s="27">
        <v>199059</v>
      </c>
      <c r="G59" s="11">
        <f t="shared" si="0"/>
        <v>2564927.4402160002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4325</v>
      </c>
      <c r="D67" s="27">
        <v>2046</v>
      </c>
      <c r="E67" s="27">
        <v>1878</v>
      </c>
      <c r="F67" s="27">
        <v>6845</v>
      </c>
      <c r="G67" s="27">
        <f t="shared" si="0"/>
        <v>15094</v>
      </c>
    </row>
    <row r="68" spans="2:8" x14ac:dyDescent="0.25">
      <c r="B68" s="14" t="s">
        <v>47</v>
      </c>
      <c r="C68" s="27">
        <v>3902.9477729999999</v>
      </c>
      <c r="D68" s="27">
        <v>2236.4558960000099</v>
      </c>
      <c r="E68" s="27">
        <v>2191.807366</v>
      </c>
      <c r="F68" s="27">
        <v>5664</v>
      </c>
      <c r="G68" s="27">
        <f t="shared" si="0"/>
        <v>13995.211035000011</v>
      </c>
    </row>
    <row r="69" spans="2:8" x14ac:dyDescent="0.25">
      <c r="B69" s="14" t="s">
        <v>48</v>
      </c>
      <c r="C69" s="27">
        <v>33.546127167630097</v>
      </c>
      <c r="D69" s="27">
        <v>54</v>
      </c>
      <c r="E69" s="27">
        <v>48.987220447284344</v>
      </c>
      <c r="F69" s="27">
        <v>39</v>
      </c>
      <c r="G69" s="27">
        <f>AVERAGE(C69:F69)</f>
        <v>43.883336903728605</v>
      </c>
    </row>
    <row r="70" spans="2:8" x14ac:dyDescent="0.25">
      <c r="B70" s="14" t="s">
        <v>49</v>
      </c>
      <c r="C70" s="27">
        <v>140279</v>
      </c>
      <c r="D70" s="27">
        <v>91615</v>
      </c>
      <c r="E70" s="27">
        <v>74043</v>
      </c>
      <c r="F70" s="27">
        <v>281257</v>
      </c>
      <c r="G70" s="27">
        <f t="shared" si="0"/>
        <v>587194</v>
      </c>
    </row>
    <row r="71" spans="2:8" x14ac:dyDescent="0.25">
      <c r="B71" s="14" t="s">
        <v>50</v>
      </c>
      <c r="C71" s="27">
        <v>150124</v>
      </c>
      <c r="D71" s="27">
        <v>110365.715407</v>
      </c>
      <c r="E71" s="27">
        <v>81010.592971999999</v>
      </c>
      <c r="F71" s="27">
        <v>268875</v>
      </c>
      <c r="G71" s="11">
        <f t="shared" si="0"/>
        <v>610375.30837900005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v>106931</v>
      </c>
      <c r="D73" s="19">
        <v>8702</v>
      </c>
      <c r="E73" s="19">
        <v>3359</v>
      </c>
      <c r="F73" s="19">
        <v>10463</v>
      </c>
      <c r="G73" s="19">
        <f>SUM(C73:F73)</f>
        <v>129455</v>
      </c>
    </row>
    <row r="74" spans="2:8" x14ac:dyDescent="0.25">
      <c r="B74" s="18" t="s">
        <v>47</v>
      </c>
      <c r="C74" s="19">
        <v>81274.171478000004</v>
      </c>
      <c r="D74" s="19">
        <v>12292.623951000211</v>
      </c>
      <c r="E74" s="19">
        <v>4325.3990830000002</v>
      </c>
      <c r="F74" s="19">
        <v>11419</v>
      </c>
      <c r="G74" s="22">
        <f>SUM(C74:F74)</f>
        <v>109311.19451200021</v>
      </c>
    </row>
    <row r="75" spans="2:8" x14ac:dyDescent="0.25">
      <c r="B75" s="18" t="s">
        <v>48</v>
      </c>
      <c r="C75" s="19">
        <v>14.334131355734099</v>
      </c>
      <c r="D75" s="19">
        <v>30.666666666666668</v>
      </c>
      <c r="E75" s="19">
        <v>36.322715093777909</v>
      </c>
      <c r="F75" s="19">
        <v>30.5</v>
      </c>
      <c r="G75" s="19">
        <f>AVERAGE(C75:F75)</f>
        <v>27.955878279044668</v>
      </c>
    </row>
    <row r="76" spans="2:8" x14ac:dyDescent="0.25">
      <c r="B76" s="18" t="s">
        <v>49</v>
      </c>
      <c r="C76" s="19">
        <v>1042297</v>
      </c>
      <c r="D76" s="19">
        <v>248648</v>
      </c>
      <c r="E76" s="19">
        <v>127446</v>
      </c>
      <c r="F76" s="19">
        <v>365574</v>
      </c>
      <c r="G76" s="19">
        <f>SUM(C76:F76)</f>
        <v>1783965</v>
      </c>
    </row>
    <row r="77" spans="2:8" x14ac:dyDescent="0.25">
      <c r="B77" s="18" t="s">
        <v>50</v>
      </c>
      <c r="C77" s="19">
        <v>2122116</v>
      </c>
      <c r="D77" s="19">
        <v>394866.260932</v>
      </c>
      <c r="E77" s="19">
        <v>190386.48766300001</v>
      </c>
      <c r="F77" s="19">
        <v>467934</v>
      </c>
      <c r="G77" s="22">
        <f>SUM(C77:F77)</f>
        <v>3175302.7485949998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976</v>
      </c>
      <c r="D84" s="24">
        <v>112</v>
      </c>
      <c r="E84" s="32">
        <v>5</v>
      </c>
      <c r="F84" s="24">
        <v>90</v>
      </c>
      <c r="G84" s="24">
        <f>SUM(C84:F84)</f>
        <v>1183</v>
      </c>
    </row>
    <row r="85" spans="2:7" x14ac:dyDescent="0.25">
      <c r="B85" s="14" t="s">
        <v>50</v>
      </c>
      <c r="C85" s="24">
        <v>21115</v>
      </c>
      <c r="D85" s="24">
        <v>1430</v>
      </c>
      <c r="E85" s="32">
        <v>63</v>
      </c>
      <c r="F85" s="27">
        <v>1679.407136</v>
      </c>
      <c r="G85" s="11">
        <f>SUM(C85:F85)</f>
        <v>24287.407136000002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171</v>
      </c>
      <c r="D97" s="24">
        <v>0</v>
      </c>
      <c r="E97" s="24">
        <v>0</v>
      </c>
      <c r="F97" s="24">
        <v>76.840237000000002</v>
      </c>
      <c r="G97" s="11">
        <f>SUM(C97:F97)</f>
        <v>247.840237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986</v>
      </c>
      <c r="D102" s="45">
        <f t="shared" ref="D102:D103" si="1">+D96+D90+D84</f>
        <v>112</v>
      </c>
      <c r="E102" s="45">
        <f>+E84</f>
        <v>5</v>
      </c>
      <c r="F102" s="45">
        <f>+F96+F84</f>
        <v>96</v>
      </c>
      <c r="G102" s="19">
        <f>SUM(C102:F102)</f>
        <v>1199</v>
      </c>
    </row>
    <row r="103" spans="2:8" x14ac:dyDescent="0.25">
      <c r="B103" s="18" t="s">
        <v>50</v>
      </c>
      <c r="C103" s="45">
        <f>+C97+C85</f>
        <v>21286</v>
      </c>
      <c r="D103" s="45">
        <f t="shared" si="1"/>
        <v>1430</v>
      </c>
      <c r="E103" s="45">
        <f>+E85</f>
        <v>63</v>
      </c>
      <c r="F103" s="43">
        <f>+F85+F97</f>
        <v>1756.2473730000002</v>
      </c>
      <c r="G103" s="22">
        <f>SUM(C103:F103)</f>
        <v>24535.247372999998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2.8214116168360435</v>
      </c>
      <c r="D107" s="13">
        <v>2.5499999999999998</v>
      </c>
      <c r="E107" s="30">
        <v>2.8423789764868603</v>
      </c>
      <c r="F107" s="13">
        <v>2.54</v>
      </c>
      <c r="G107" s="13">
        <f>AVERAGE(C107:F107)</f>
        <v>2.688447648330726</v>
      </c>
    </row>
    <row r="108" spans="2:8" x14ac:dyDescent="0.25">
      <c r="B108" s="14" t="s">
        <v>60</v>
      </c>
      <c r="C108" s="13">
        <v>2.2426334776334564</v>
      </c>
      <c r="D108" s="13">
        <v>2.59</v>
      </c>
      <c r="E108" s="31">
        <v>2.6350714285714285</v>
      </c>
      <c r="F108" s="13">
        <v>2.58</v>
      </c>
      <c r="G108" s="13">
        <f>AVERAGE(C108:F108)</f>
        <v>2.5119262265512212</v>
      </c>
    </row>
    <row r="109" spans="2:8" x14ac:dyDescent="0.25">
      <c r="B109" s="14" t="s">
        <v>61</v>
      </c>
      <c r="C109" s="13">
        <v>2.106834766032903</v>
      </c>
      <c r="D109" s="13">
        <v>2.59</v>
      </c>
      <c r="E109" s="30">
        <v>2.5878333333333337</v>
      </c>
      <c r="F109" s="13">
        <v>2.58</v>
      </c>
      <c r="G109" s="13">
        <f>AVERAGE(C109:F109)</f>
        <v>2.466167024841559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0">
        <v>1.9</v>
      </c>
      <c r="F111" s="13">
        <v>1.8</v>
      </c>
      <c r="G111" s="13">
        <f>AVERAGE(C111:F111)</f>
        <v>1.9124999999999999</v>
      </c>
    </row>
    <row r="112" spans="2:8" x14ac:dyDescent="0.25">
      <c r="B112" s="14" t="s">
        <v>60</v>
      </c>
      <c r="C112" s="13">
        <v>1.9901020408163284</v>
      </c>
      <c r="D112" s="13">
        <v>2.13</v>
      </c>
      <c r="E112" s="30">
        <v>2.12</v>
      </c>
      <c r="F112" s="13">
        <v>2.12</v>
      </c>
      <c r="G112" s="13">
        <f>AVERAGE(C112:F112)</f>
        <v>2.0900255102040823</v>
      </c>
    </row>
    <row r="113" spans="2:9" x14ac:dyDescent="0.25">
      <c r="B113" s="14" t="s">
        <v>61</v>
      </c>
      <c r="C113" s="13">
        <v>1.8781910569105982</v>
      </c>
      <c r="D113" s="13">
        <v>2.13</v>
      </c>
      <c r="E113" s="30">
        <v>2.1122727272727273</v>
      </c>
      <c r="F113" s="13">
        <v>2.12</v>
      </c>
      <c r="G113" s="13">
        <f>AVERAGE(C113:F113)</f>
        <v>2.0601159460458316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1.506922190201736</v>
      </c>
      <c r="D116" s="13">
        <v>1.79</v>
      </c>
      <c r="E116" s="31">
        <v>1.9355072463768115</v>
      </c>
      <c r="F116" s="13">
        <v>1.78</v>
      </c>
      <c r="G116" s="13">
        <f>AVERAGE(C116:F116)</f>
        <v>1.7531073591446369</v>
      </c>
    </row>
    <row r="117" spans="2:9" x14ac:dyDescent="0.25">
      <c r="B117" s="14" t="s">
        <v>60</v>
      </c>
      <c r="C117" s="13">
        <v>1.7578228571429206</v>
      </c>
      <c r="D117" s="13">
        <v>1.79</v>
      </c>
      <c r="E117" s="31">
        <v>1.9241216216216217</v>
      </c>
      <c r="F117" s="13">
        <v>1.78</v>
      </c>
      <c r="G117" s="13">
        <f>AVERAGE(C117:F117)</f>
        <v>1.8129861196911357</v>
      </c>
    </row>
    <row r="118" spans="2:9" x14ac:dyDescent="0.25">
      <c r="B118" s="14" t="s">
        <v>61</v>
      </c>
      <c r="C118" s="13">
        <v>1.6469490794016246</v>
      </c>
      <c r="D118" s="13">
        <v>1.74</v>
      </c>
      <c r="E118" s="31">
        <v>1.9865979381443299</v>
      </c>
      <c r="F118" s="13">
        <v>1.74</v>
      </c>
      <c r="G118" s="13">
        <f>AVERAGE(C118:F118)</f>
        <v>1.7783867543864886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42">
        <v>1.34</v>
      </c>
      <c r="D121" s="13">
        <v>1.43</v>
      </c>
      <c r="E121" s="30">
        <v>1.33</v>
      </c>
      <c r="F121" s="13">
        <v>1.43</v>
      </c>
      <c r="G121" s="13">
        <f>AVERAGE(C121:F121)</f>
        <v>1.3824999999999998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1.58</v>
      </c>
      <c r="F122" s="13">
        <v>1.43</v>
      </c>
      <c r="G122" s="13">
        <f>AVERAGE(C122:F122)</f>
        <v>1.4674999999999998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2</v>
      </c>
      <c r="D127" s="37">
        <v>2.1106639999999999</v>
      </c>
      <c r="E127" s="33">
        <v>2.2721827984531653</v>
      </c>
      <c r="F127" s="4">
        <v>0</v>
      </c>
      <c r="G127" s="11">
        <f>AVERAGE(C127:E127)</f>
        <v>2.1276155994843884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238792</v>
      </c>
      <c r="D130" s="27">
        <v>3447</v>
      </c>
      <c r="E130" s="27">
        <v>8104</v>
      </c>
      <c r="F130" s="27">
        <v>765</v>
      </c>
      <c r="G130" s="27">
        <f>SUM(C130:F130)</f>
        <v>251108</v>
      </c>
    </row>
    <row r="131" spans="2:9" x14ac:dyDescent="0.25">
      <c r="B131" s="14" t="s">
        <v>71</v>
      </c>
      <c r="C131" s="27">
        <v>159856</v>
      </c>
      <c r="D131" s="27">
        <v>3908</v>
      </c>
      <c r="E131" s="27">
        <v>996062</v>
      </c>
      <c r="F131" s="27">
        <v>780.90870500000005</v>
      </c>
      <c r="G131" s="11">
        <f>SUM(C131:F131)</f>
        <v>1160606.9087050001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834691</v>
      </c>
      <c r="D134" s="27">
        <v>399784</v>
      </c>
      <c r="E134" s="27">
        <v>149953</v>
      </c>
      <c r="F134" s="27">
        <v>370206</v>
      </c>
      <c r="G134" s="27">
        <f>SUM(C134:F134)</f>
        <v>1754634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15061</v>
      </c>
      <c r="G138" s="27">
        <f>SUM(C138:F138)</f>
        <v>15061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190</v>
      </c>
      <c r="G139" s="27">
        <f>SUM(C139:F139)</f>
        <v>190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652</v>
      </c>
      <c r="E146" s="27">
        <v>0</v>
      </c>
      <c r="F146" s="27">
        <v>1013</v>
      </c>
      <c r="G146" s="27">
        <f>SUM(C146:F146)</f>
        <v>1665</v>
      </c>
    </row>
    <row r="147" spans="2:8" x14ac:dyDescent="0.25">
      <c r="B147" s="14" t="s">
        <v>82</v>
      </c>
      <c r="C147" s="27">
        <v>0</v>
      </c>
      <c r="D147" s="27">
        <v>14.231999999999999</v>
      </c>
      <c r="E147" s="27">
        <v>0</v>
      </c>
      <c r="F147" s="27">
        <v>10.39025</v>
      </c>
      <c r="G147" s="11">
        <f>SUM(C147:F147)</f>
        <v>24.622250000000001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313</v>
      </c>
      <c r="E154" s="35">
        <v>2</v>
      </c>
      <c r="F154" s="34">
        <v>0</v>
      </c>
      <c r="G154" s="27">
        <f>SUM(C154:F154)</f>
        <v>315</v>
      </c>
      <c r="H154"/>
    </row>
    <row r="155" spans="2:8" x14ac:dyDescent="0.25">
      <c r="B155" s="14" t="s">
        <v>88</v>
      </c>
      <c r="C155" s="11">
        <v>0</v>
      </c>
      <c r="D155" s="27">
        <v>4.63</v>
      </c>
      <c r="E155" s="35">
        <v>6.5000000000000002E-2</v>
      </c>
      <c r="F155" s="34">
        <v>0</v>
      </c>
      <c r="G155" s="11">
        <f>SUM(C155:F155)</f>
        <v>4.6950000000000003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f>+D146+D150+D154</f>
        <v>965</v>
      </c>
      <c r="E158" s="19">
        <f>+E154</f>
        <v>2</v>
      </c>
      <c r="F158" s="19">
        <f>F146+F154</f>
        <v>1013</v>
      </c>
      <c r="G158" s="19">
        <f>SUM(C158:F158)</f>
        <v>1980</v>
      </c>
    </row>
    <row r="159" spans="2:8" x14ac:dyDescent="0.25">
      <c r="B159" s="18" t="s">
        <v>91</v>
      </c>
      <c r="C159" s="19">
        <v>0</v>
      </c>
      <c r="D159" s="44">
        <f>+D147+D151+D155</f>
        <v>18.942</v>
      </c>
      <c r="E159" s="19">
        <v>0</v>
      </c>
      <c r="F159" s="19">
        <f>F147+F155</f>
        <v>10.39025</v>
      </c>
      <c r="G159" s="22">
        <f>SUM(C159:F159)</f>
        <v>29.332250000000002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3164</v>
      </c>
      <c r="D162" s="27">
        <v>46275</v>
      </c>
      <c r="E162" s="50">
        <v>6208</v>
      </c>
      <c r="F162" s="27">
        <v>31841</v>
      </c>
      <c r="G162" s="27">
        <f>SUM(C162:F162)</f>
        <v>87488</v>
      </c>
    </row>
    <row r="163" spans="2:8" x14ac:dyDescent="0.25">
      <c r="B163" s="14" t="s">
        <v>88</v>
      </c>
      <c r="C163" s="27">
        <v>71.717043000000004</v>
      </c>
      <c r="D163" s="27">
        <v>68.343553999999997</v>
      </c>
      <c r="E163" s="27">
        <v>98.048772</v>
      </c>
      <c r="F163" s="27">
        <v>197.47268</v>
      </c>
      <c r="G163" s="11">
        <f>SUM(C163:F163)</f>
        <v>435.58204899999998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981</v>
      </c>
      <c r="D167" s="27">
        <v>4083</v>
      </c>
      <c r="E167" s="51">
        <v>79</v>
      </c>
      <c r="F167" s="27">
        <v>595</v>
      </c>
      <c r="G167" s="27">
        <f>SUM(C167:F167)</f>
        <v>5738</v>
      </c>
    </row>
    <row r="168" spans="2:8" x14ac:dyDescent="0.25">
      <c r="B168" s="14" t="s">
        <v>96</v>
      </c>
      <c r="C168" s="27">
        <v>34.335000000000001</v>
      </c>
      <c r="D168" s="27">
        <v>100.602547</v>
      </c>
      <c r="E168" s="27">
        <v>2.5</v>
      </c>
      <c r="F168" s="27">
        <v>21.75</v>
      </c>
      <c r="G168" s="11">
        <f>SUM(C168:F168)</f>
        <v>159.187547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1938</v>
      </c>
      <c r="D171" s="27">
        <v>421</v>
      </c>
      <c r="E171" s="51">
        <v>103</v>
      </c>
      <c r="F171" s="27">
        <v>366</v>
      </c>
      <c r="G171" s="27">
        <f>SUM(C171:F171)</f>
        <v>2828</v>
      </c>
    </row>
    <row r="172" spans="2:8" x14ac:dyDescent="0.25">
      <c r="B172" s="14" t="s">
        <v>96</v>
      </c>
      <c r="C172" s="27">
        <v>67.83</v>
      </c>
      <c r="D172" s="27">
        <v>8.8409999999999993</v>
      </c>
      <c r="E172" s="27">
        <v>2.6</v>
      </c>
      <c r="F172" s="27">
        <v>9.1389999999999993</v>
      </c>
      <c r="G172" s="11">
        <f>SUM(C172:F172)</f>
        <v>88.409999999999982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234</v>
      </c>
      <c r="D175" s="27">
        <v>338</v>
      </c>
      <c r="E175" s="51">
        <v>173</v>
      </c>
      <c r="F175" s="27">
        <v>31</v>
      </c>
      <c r="G175" s="27">
        <f>SUM(C175:F175)</f>
        <v>776</v>
      </c>
    </row>
    <row r="176" spans="2:8" x14ac:dyDescent="0.25">
      <c r="B176" s="14" t="s">
        <v>96</v>
      </c>
      <c r="C176" s="27">
        <v>24.66</v>
      </c>
      <c r="D176" s="27">
        <v>35.54</v>
      </c>
      <c r="E176" s="27">
        <v>9.58</v>
      </c>
      <c r="F176" s="27">
        <v>3.1850000000000001</v>
      </c>
      <c r="G176" s="11">
        <f>SUM(C176:F176)</f>
        <v>72.965000000000003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262</v>
      </c>
      <c r="D179" s="27">
        <v>166853</v>
      </c>
      <c r="E179" s="27">
        <v>0</v>
      </c>
      <c r="F179" s="27">
        <v>0</v>
      </c>
      <c r="G179" s="27">
        <f>SUM(C179:F179)</f>
        <v>167115</v>
      </c>
    </row>
    <row r="180" spans="2:8" x14ac:dyDescent="0.25">
      <c r="B180" s="14" t="s">
        <v>96</v>
      </c>
      <c r="C180" s="27">
        <v>10.585000000000001</v>
      </c>
      <c r="D180" s="27">
        <v>3938.5788293851001</v>
      </c>
      <c r="E180" s="27">
        <v>0</v>
      </c>
      <c r="F180" s="27">
        <v>0</v>
      </c>
      <c r="G180" s="11">
        <f>SUM(C180:F180)</f>
        <v>3949.1638293851001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v>3415</v>
      </c>
      <c r="D183" s="44">
        <v>171695</v>
      </c>
      <c r="E183" s="19">
        <v>355</v>
      </c>
      <c r="F183" s="19">
        <f>+F179+F175+F171+F167</f>
        <v>992</v>
      </c>
      <c r="G183" s="19">
        <f>SUM(C183:F183)</f>
        <v>176457</v>
      </c>
    </row>
    <row r="184" spans="2:8" x14ac:dyDescent="0.25">
      <c r="B184" s="18" t="s">
        <v>103</v>
      </c>
      <c r="C184" s="19">
        <v>137.41</v>
      </c>
      <c r="D184" s="44">
        <v>4083.5623763850999</v>
      </c>
      <c r="E184" s="19">
        <v>14.68</v>
      </c>
      <c r="F184" s="19">
        <f>+F180+F176+F172+F168</f>
        <v>34.073999999999998</v>
      </c>
      <c r="G184" s="22">
        <f>SUM(C184:F184)</f>
        <v>4269.7263763850997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1584</v>
      </c>
      <c r="D187" s="27">
        <v>7222</v>
      </c>
      <c r="E187" s="27">
        <v>62</v>
      </c>
      <c r="F187" s="27">
        <v>33846</v>
      </c>
      <c r="G187" s="27">
        <f>SUM(C187:F187)</f>
        <v>42714</v>
      </c>
    </row>
    <row r="188" spans="2:8" x14ac:dyDescent="0.25">
      <c r="B188" s="14" t="s">
        <v>106</v>
      </c>
      <c r="C188" s="27">
        <v>16.973617999999998</v>
      </c>
      <c r="D188" s="27">
        <v>323.11659999999995</v>
      </c>
      <c r="E188" s="27">
        <v>2.4700000000000002</v>
      </c>
      <c r="F188" s="27">
        <v>241.95693</v>
      </c>
      <c r="G188" s="11">
        <f>SUM(C188:F188)</f>
        <v>584.51714799999991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8163</v>
      </c>
      <c r="D191" s="44">
        <v>226157</v>
      </c>
      <c r="E191" s="19">
        <v>6625</v>
      </c>
      <c r="F191" s="19">
        <f>F158+F162+F183+F187</f>
        <v>67692</v>
      </c>
      <c r="G191" s="19">
        <f>SUM(C191:F191)</f>
        <v>308637</v>
      </c>
    </row>
    <row r="192" spans="2:8" x14ac:dyDescent="0.25">
      <c r="B192" s="18" t="s">
        <v>109</v>
      </c>
      <c r="C192" s="19">
        <f>C188+C163+C184</f>
        <v>226.100661</v>
      </c>
      <c r="D192" s="44">
        <v>4493.8845303851003</v>
      </c>
      <c r="E192" s="19">
        <v>115.19877199999999</v>
      </c>
      <c r="F192" s="19">
        <f>F159+F184+F163+F188</f>
        <v>483.89386000000002</v>
      </c>
      <c r="G192" s="22">
        <f>SUM(C192:F192)</f>
        <v>5319.0778233851006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196"/>
  <sheetViews>
    <sheetView zoomScaleNormal="100" workbookViewId="0">
      <selection activeCell="E168" sqref="E168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55057</v>
      </c>
      <c r="D6" s="12">
        <v>8161</v>
      </c>
      <c r="E6" s="12">
        <v>8021</v>
      </c>
      <c r="F6" s="12">
        <v>9689</v>
      </c>
      <c r="G6" s="12">
        <f>+F6+E6+D6+C6</f>
        <v>80928</v>
      </c>
    </row>
    <row r="7" spans="1:7" x14ac:dyDescent="0.25">
      <c r="B7" s="14" t="s">
        <v>10</v>
      </c>
      <c r="C7" s="12">
        <v>556</v>
      </c>
      <c r="D7" s="12">
        <v>250</v>
      </c>
      <c r="E7" s="12">
        <v>24</v>
      </c>
      <c r="F7" s="12">
        <v>142</v>
      </c>
      <c r="G7" s="12">
        <f>+F7+E7+D7+C7</f>
        <v>972</v>
      </c>
    </row>
    <row r="8" spans="1:7" x14ac:dyDescent="0.25">
      <c r="B8" s="18" t="s">
        <v>11</v>
      </c>
      <c r="C8" s="25">
        <f>SUM(C6:C7)</f>
        <v>55613</v>
      </c>
      <c r="D8" s="25">
        <f>+D6+D7</f>
        <v>8411</v>
      </c>
      <c r="E8" s="25">
        <v>8045</v>
      </c>
      <c r="F8" s="25">
        <v>9831</v>
      </c>
      <c r="G8" s="25">
        <f>+F8+E8+D8+C8</f>
        <v>81900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768955</v>
      </c>
      <c r="D12" s="17">
        <v>99146</v>
      </c>
      <c r="E12" s="17">
        <v>40076</v>
      </c>
      <c r="F12" s="17">
        <v>0</v>
      </c>
      <c r="G12" s="17">
        <f>SUM(C12:F12)</f>
        <v>908177</v>
      </c>
    </row>
    <row r="13" spans="1:7" x14ac:dyDescent="0.25">
      <c r="B13" s="16" t="s">
        <v>15</v>
      </c>
      <c r="C13" s="17">
        <v>2646159</v>
      </c>
      <c r="D13" s="17">
        <v>578499</v>
      </c>
      <c r="E13" s="17">
        <v>230506</v>
      </c>
      <c r="F13" s="17">
        <v>0</v>
      </c>
      <c r="G13" s="17">
        <f>SUM(C13:F13)</f>
        <v>3455164</v>
      </c>
    </row>
    <row r="14" spans="1:7" x14ac:dyDescent="0.25">
      <c r="B14" s="18" t="s">
        <v>16</v>
      </c>
      <c r="C14" s="19">
        <f>C13+C12</f>
        <v>3415114</v>
      </c>
      <c r="D14" s="19">
        <v>950089</v>
      </c>
      <c r="E14" s="19">
        <v>270582</v>
      </c>
      <c r="F14" s="19">
        <v>348124</v>
      </c>
      <c r="G14" s="19">
        <f>SUM(C14:F14)</f>
        <v>4983909</v>
      </c>
    </row>
    <row r="15" spans="1:7" x14ac:dyDescent="0.25">
      <c r="B15" s="18" t="s">
        <v>17</v>
      </c>
      <c r="C15" s="19">
        <v>529538</v>
      </c>
      <c r="D15" s="19">
        <v>170943</v>
      </c>
      <c r="E15" s="19">
        <v>3382</v>
      </c>
      <c r="F15" s="19">
        <v>151532</v>
      </c>
      <c r="G15" s="19">
        <f>SUM(C15:F15)</f>
        <v>855395</v>
      </c>
    </row>
    <row r="16" spans="1:7" x14ac:dyDescent="0.25">
      <c r="B16" s="18" t="s">
        <v>18</v>
      </c>
      <c r="C16" s="19">
        <f>C15+C14</f>
        <v>3944652</v>
      </c>
      <c r="D16" s="19">
        <v>1121032</v>
      </c>
      <c r="E16" s="19">
        <v>273964</v>
      </c>
      <c r="F16" s="19">
        <v>499656</v>
      </c>
      <c r="G16" s="19">
        <f>SUM(C16:F16)</f>
        <v>5839304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3461</v>
      </c>
      <c r="D19" s="27">
        <v>4</v>
      </c>
      <c r="E19" s="27">
        <v>0</v>
      </c>
      <c r="F19" s="27">
        <v>0</v>
      </c>
      <c r="G19" s="27">
        <f>SUM(C19:F19)</f>
        <v>3465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3948113</v>
      </c>
      <c r="D21" s="19">
        <v>1121036</v>
      </c>
      <c r="E21" s="19">
        <v>273964</v>
      </c>
      <c r="F21" s="19">
        <v>499656</v>
      </c>
      <c r="G21" s="19">
        <f>SUM(C21:F21)</f>
        <v>5842769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404224</v>
      </c>
      <c r="D24" s="19">
        <v>209014</v>
      </c>
      <c r="E24" s="19">
        <v>155682</v>
      </c>
      <c r="F24" s="19">
        <v>687203</v>
      </c>
      <c r="G24" s="19">
        <f>SUM(C24:F24)</f>
        <v>1456123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4352337</v>
      </c>
      <c r="D27" s="19">
        <f>+D24+D21</f>
        <v>1330050</v>
      </c>
      <c r="E27" s="19">
        <f>+E21+E24</f>
        <v>429646</v>
      </c>
      <c r="F27" s="19">
        <f>+F24+F21</f>
        <v>1186859</v>
      </c>
      <c r="G27" s="19">
        <f>SUM(C27:F27)</f>
        <v>7298892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1214951</v>
      </c>
      <c r="D30" s="27">
        <v>130103</v>
      </c>
      <c r="E30" s="27">
        <v>75618</v>
      </c>
      <c r="F30" s="27">
        <v>199309</v>
      </c>
      <c r="G30" s="27">
        <f>SUM(C30:F30)</f>
        <v>1619981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4310999228192</v>
      </c>
      <c r="D33" s="27">
        <v>792904140525</v>
      </c>
      <c r="E33" s="27">
        <v>280493248027</v>
      </c>
      <c r="F33" s="27">
        <v>479783612919</v>
      </c>
      <c r="G33" s="27">
        <f>SUM(C33:F33)</f>
        <v>5864180229663</v>
      </c>
    </row>
    <row r="34" spans="2:9" x14ac:dyDescent="0.25">
      <c r="B34" s="14" t="s">
        <v>30</v>
      </c>
      <c r="C34" s="27">
        <v>178392410122</v>
      </c>
      <c r="D34" s="27">
        <v>74493617994</v>
      </c>
      <c r="E34" s="27">
        <v>48641200500</v>
      </c>
      <c r="F34" s="27">
        <v>212143838771</v>
      </c>
      <c r="G34" s="27">
        <f>SUM(C34:F34)</f>
        <v>513671067387</v>
      </c>
    </row>
    <row r="35" spans="2:9" x14ac:dyDescent="0.25">
      <c r="B35" s="39" t="s">
        <v>31</v>
      </c>
      <c r="C35" s="40">
        <f>SUM(C33:C34)</f>
        <v>4489391638314</v>
      </c>
      <c r="D35" s="40">
        <f>+D34+D33</f>
        <v>867397758519</v>
      </c>
      <c r="E35" s="40">
        <v>329134448527</v>
      </c>
      <c r="F35" s="40">
        <v>691927451690</v>
      </c>
      <c r="G35" s="40">
        <f>SUM(C35:F35)</f>
        <v>6377851297050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717600</v>
      </c>
      <c r="D40" s="27">
        <v>113549</v>
      </c>
      <c r="E40" s="27">
        <v>50177</v>
      </c>
      <c r="F40" s="27">
        <v>71436</v>
      </c>
      <c r="G40" s="27">
        <f>SUM(C40:F40)</f>
        <v>952762</v>
      </c>
      <c r="H40" s="7"/>
      <c r="I40" s="7"/>
    </row>
    <row r="41" spans="2:9" x14ac:dyDescent="0.25">
      <c r="B41" s="14" t="s">
        <v>36</v>
      </c>
      <c r="C41" s="27">
        <f>4970478510/1000000</f>
        <v>4970.4785099999999</v>
      </c>
      <c r="D41" s="27">
        <v>1276.2163539999999</v>
      </c>
      <c r="E41" s="27">
        <v>546.70000000000005</v>
      </c>
      <c r="F41" s="27">
        <v>736.93118800000002</v>
      </c>
      <c r="G41" s="11">
        <f>SUM(C41:F41)</f>
        <v>7530.3260520000003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4</v>
      </c>
      <c r="D44" s="27">
        <v>7</v>
      </c>
      <c r="E44" s="27">
        <v>0</v>
      </c>
      <c r="F44" s="27">
        <v>0</v>
      </c>
      <c r="G44" s="27">
        <f>SUM(C44:F44)</f>
        <v>11</v>
      </c>
      <c r="H44" s="7"/>
      <c r="I44" s="7"/>
    </row>
    <row r="45" spans="2:9" x14ac:dyDescent="0.25">
      <c r="B45" s="14" t="s">
        <v>39</v>
      </c>
      <c r="C45" s="27">
        <f>4794691/1000000</f>
        <v>4.7946910000000003</v>
      </c>
      <c r="D45" s="27">
        <v>0.121366</v>
      </c>
      <c r="E45" s="27">
        <v>0</v>
      </c>
      <c r="F45" s="27">
        <v>0</v>
      </c>
      <c r="G45" s="11">
        <f>SUM(C45:F45)</f>
        <v>4.9160570000000003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151322</v>
      </c>
      <c r="D48" s="27">
        <v>75999</v>
      </c>
      <c r="E48" s="27">
        <v>11054</v>
      </c>
      <c r="F48" s="27">
        <v>54652</v>
      </c>
      <c r="G48" s="27">
        <f>SUM(C48:F48)</f>
        <v>293027</v>
      </c>
      <c r="H48" s="7"/>
      <c r="I48" s="7"/>
    </row>
    <row r="49" spans="2:9" x14ac:dyDescent="0.25">
      <c r="B49" s="14" t="s">
        <v>42</v>
      </c>
      <c r="C49" s="27">
        <f>(91499726632+1752195004)/1000000</f>
        <v>93251.921635999999</v>
      </c>
      <c r="D49" s="27">
        <v>29620</v>
      </c>
      <c r="E49" s="27">
        <v>10964.308652000002</v>
      </c>
      <c r="F49" s="27">
        <v>11996.655691</v>
      </c>
      <c r="G49" s="11">
        <f>SUM(C49:F49)</f>
        <v>145832.88597899998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103142</v>
      </c>
      <c r="D55" s="27">
        <v>7026</v>
      </c>
      <c r="E55" s="27">
        <v>1642</v>
      </c>
      <c r="F55" s="27">
        <v>3693</v>
      </c>
      <c r="G55" s="27">
        <f t="shared" ref="G55:G71" si="0">SUM(C55:F55)</f>
        <v>115503</v>
      </c>
    </row>
    <row r="56" spans="2:9" x14ac:dyDescent="0.25">
      <c r="B56" s="14" t="s">
        <v>47</v>
      </c>
      <c r="C56" s="27">
        <v>76267.420035000003</v>
      </c>
      <c r="D56" s="27">
        <v>10569.4388310003</v>
      </c>
      <c r="E56" s="27">
        <v>2359.3426639999998</v>
      </c>
      <c r="F56" s="27">
        <v>5508</v>
      </c>
      <c r="G56" s="27">
        <f t="shared" si="0"/>
        <v>94704.201530000297</v>
      </c>
    </row>
    <row r="57" spans="2:9" x14ac:dyDescent="0.25">
      <c r="B57" s="14" t="s">
        <v>48</v>
      </c>
      <c r="C57" s="27">
        <v>13.789833433518799</v>
      </c>
      <c r="D57" s="27">
        <v>38</v>
      </c>
      <c r="E57" s="27">
        <v>19.97198538367844</v>
      </c>
      <c r="F57" s="27">
        <v>21</v>
      </c>
      <c r="G57" s="27">
        <f>AVERAGE(C57:F57)</f>
        <v>23.190454704299309</v>
      </c>
    </row>
    <row r="58" spans="2:9" x14ac:dyDescent="0.25">
      <c r="B58" s="14" t="s">
        <v>49</v>
      </c>
      <c r="C58" s="27">
        <v>919680</v>
      </c>
      <c r="D58" s="27">
        <v>159033</v>
      </c>
      <c r="E58" s="27">
        <v>53668</v>
      </c>
      <c r="F58" s="27">
        <v>85017</v>
      </c>
      <c r="G58" s="27">
        <f t="shared" si="0"/>
        <v>1217398</v>
      </c>
    </row>
    <row r="59" spans="2:9" x14ac:dyDescent="0.25">
      <c r="B59" s="14" t="s">
        <v>50</v>
      </c>
      <c r="C59" s="27">
        <v>2003807.534771</v>
      </c>
      <c r="D59" s="27">
        <v>291859.48126500001</v>
      </c>
      <c r="E59" s="27">
        <v>110116.191269</v>
      </c>
      <c r="F59" s="27">
        <v>201564</v>
      </c>
      <c r="G59" s="11">
        <f t="shared" si="0"/>
        <v>2607347.2073050002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5024</v>
      </c>
      <c r="D67" s="27">
        <v>2212</v>
      </c>
      <c r="E67" s="27">
        <v>2559</v>
      </c>
      <c r="F67" s="27">
        <v>8395</v>
      </c>
      <c r="G67" s="27">
        <f t="shared" si="0"/>
        <v>18190</v>
      </c>
    </row>
    <row r="68" spans="2:8" x14ac:dyDescent="0.25">
      <c r="B68" s="14" t="s">
        <v>47</v>
      </c>
      <c r="C68" s="27">
        <v>4272.4210650000005</v>
      </c>
      <c r="D68" s="27">
        <v>2336.8224370000098</v>
      </c>
      <c r="E68" s="27">
        <v>3178.7421530000001</v>
      </c>
      <c r="F68" s="27">
        <v>6879</v>
      </c>
      <c r="G68" s="27">
        <f t="shared" si="0"/>
        <v>16666.985655000011</v>
      </c>
    </row>
    <row r="69" spans="2:8" x14ac:dyDescent="0.25">
      <c r="B69" s="14" t="s">
        <v>48</v>
      </c>
      <c r="C69" s="27">
        <v>32.105294585987302</v>
      </c>
      <c r="D69" s="27">
        <v>54</v>
      </c>
      <c r="E69" s="27">
        <v>49.258694802657288</v>
      </c>
      <c r="F69" s="27">
        <v>39</v>
      </c>
      <c r="G69" s="27">
        <f>AVERAGE(C69:F69)</f>
        <v>43.590997347161149</v>
      </c>
    </row>
    <row r="70" spans="2:8" x14ac:dyDescent="0.25">
      <c r="B70" s="14" t="s">
        <v>49</v>
      </c>
      <c r="C70" s="27">
        <v>140940</v>
      </c>
      <c r="D70" s="27">
        <v>92472</v>
      </c>
      <c r="E70" s="27">
        <v>76221</v>
      </c>
      <c r="F70" s="27">
        <v>285207</v>
      </c>
      <c r="G70" s="27">
        <f t="shared" si="0"/>
        <v>594840</v>
      </c>
    </row>
    <row r="71" spans="2:8" x14ac:dyDescent="0.25">
      <c r="B71" s="14" t="s">
        <v>50</v>
      </c>
      <c r="C71" s="27">
        <v>152006.19404</v>
      </c>
      <c r="D71" s="27">
        <v>111796.522344</v>
      </c>
      <c r="E71" s="27">
        <v>83837.210540999993</v>
      </c>
      <c r="F71" s="27">
        <v>273469</v>
      </c>
      <c r="G71" s="11">
        <f t="shared" si="0"/>
        <v>621108.92692500004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108166</v>
      </c>
      <c r="D73" s="19">
        <f>+D67+D61+D55</f>
        <v>9238</v>
      </c>
      <c r="E73" s="19">
        <v>4201</v>
      </c>
      <c r="F73" s="19">
        <f t="shared" ref="F73:F74" si="1">+F55+F67</f>
        <v>12088</v>
      </c>
      <c r="G73" s="19">
        <f>SUM(C73:F73)</f>
        <v>133693</v>
      </c>
    </row>
    <row r="74" spans="2:8" x14ac:dyDescent="0.25">
      <c r="B74" s="18" t="s">
        <v>47</v>
      </c>
      <c r="C74" s="19">
        <f>+C56+C68</f>
        <v>80539.841100000005</v>
      </c>
      <c r="D74" s="19">
        <f>+D68+D62+D56</f>
        <v>12906.261268000309</v>
      </c>
      <c r="E74" s="19">
        <v>5538.0848169999999</v>
      </c>
      <c r="F74" s="19">
        <f t="shared" si="1"/>
        <v>12387</v>
      </c>
      <c r="G74" s="22">
        <f>SUM(C74:F74)</f>
        <v>111371.18718500031</v>
      </c>
    </row>
    <row r="75" spans="2:8" x14ac:dyDescent="0.25">
      <c r="B75" s="18" t="s">
        <v>48</v>
      </c>
      <c r="C75" s="19">
        <v>14.6405339940462</v>
      </c>
      <c r="D75" s="19">
        <f>(+D57+D63+D69)/3</f>
        <v>30.666666666666668</v>
      </c>
      <c r="E75" s="19">
        <v>37.811711497262557</v>
      </c>
      <c r="F75" s="19">
        <f>(F57+F69)/2</f>
        <v>30</v>
      </c>
      <c r="G75" s="19">
        <f>AVERAGE(C75:F75)</f>
        <v>28.279728039493854</v>
      </c>
    </row>
    <row r="76" spans="2:8" x14ac:dyDescent="0.25">
      <c r="B76" s="18" t="s">
        <v>49</v>
      </c>
      <c r="C76" s="19">
        <f>+C58+C70</f>
        <v>1060620</v>
      </c>
      <c r="D76" s="19">
        <f t="shared" ref="D76" si="2">+D70+D64+D58</f>
        <v>251505</v>
      </c>
      <c r="E76" s="19">
        <v>129889</v>
      </c>
      <c r="F76" s="19">
        <f t="shared" ref="F76:F77" si="3">+F58+F70</f>
        <v>370224</v>
      </c>
      <c r="G76" s="19">
        <f>SUM(C76:F76)</f>
        <v>1812238</v>
      </c>
    </row>
    <row r="77" spans="2:8" x14ac:dyDescent="0.25">
      <c r="B77" s="18" t="s">
        <v>50</v>
      </c>
      <c r="C77" s="19">
        <f>+C59+C71</f>
        <v>2155813.728811</v>
      </c>
      <c r="D77" s="19">
        <f>+D71+D65+D59</f>
        <v>403656.00360900001</v>
      </c>
      <c r="E77" s="19">
        <v>193953.40181000001</v>
      </c>
      <c r="F77" s="19">
        <f t="shared" si="3"/>
        <v>475033</v>
      </c>
      <c r="G77" s="22">
        <f>SUM(C77:F77)</f>
        <v>3228456.1342300004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972</v>
      </c>
      <c r="D84" s="24">
        <v>110</v>
      </c>
      <c r="E84" s="24">
        <v>5</v>
      </c>
      <c r="F84" s="24">
        <v>90</v>
      </c>
      <c r="G84" s="24">
        <f>SUM(C84:F84)</f>
        <v>1177</v>
      </c>
    </row>
    <row r="85" spans="2:7" x14ac:dyDescent="0.25">
      <c r="B85" s="14" t="s">
        <v>50</v>
      </c>
      <c r="C85" s="24">
        <v>21027.696223999999</v>
      </c>
      <c r="D85" s="24">
        <v>1416</v>
      </c>
      <c r="E85" s="24">
        <v>63</v>
      </c>
      <c r="F85" s="24">
        <v>1679.2285220000001</v>
      </c>
      <c r="G85" s="11">
        <f>SUM(C85:F85)</f>
        <v>24185.924746000001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0">
        <v>0</v>
      </c>
      <c r="E96" s="20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170.35836</v>
      </c>
      <c r="D97" s="20">
        <v>0</v>
      </c>
      <c r="E97" s="20">
        <v>0</v>
      </c>
      <c r="F97" s="27">
        <v>75.959046999999998</v>
      </c>
      <c r="G97" s="11">
        <f>SUM(C97:F97)</f>
        <v>246.317407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982</v>
      </c>
      <c r="D102" s="19">
        <f t="shared" ref="D102:D103" si="4">+D96+D90+D84</f>
        <v>110</v>
      </c>
      <c r="E102" s="19">
        <f>+E84</f>
        <v>5</v>
      </c>
      <c r="F102" s="19">
        <f>+F96+F84</f>
        <v>96</v>
      </c>
      <c r="G102" s="19">
        <f>SUM(C102:F102)</f>
        <v>1193</v>
      </c>
    </row>
    <row r="103" spans="2:8" x14ac:dyDescent="0.25">
      <c r="B103" s="18" t="s">
        <v>50</v>
      </c>
      <c r="C103" s="19">
        <f>+C97+C85</f>
        <v>21198.054583999998</v>
      </c>
      <c r="D103" s="19">
        <f t="shared" si="4"/>
        <v>1416</v>
      </c>
      <c r="E103" s="19">
        <f>+E85</f>
        <v>63</v>
      </c>
      <c r="F103" s="19">
        <f>+F85+F97</f>
        <v>1755.1875690000002</v>
      </c>
      <c r="G103" s="22">
        <f>SUM(C103:F103)</f>
        <v>24432.242152999999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2.8181596777886915</v>
      </c>
      <c r="D107" s="13">
        <v>2.5499999999999998</v>
      </c>
      <c r="E107" s="61">
        <v>2.7327956989247308</v>
      </c>
      <c r="F107" s="13">
        <v>2.54</v>
      </c>
      <c r="G107" s="13">
        <f>AVERAGE(C107:F107)</f>
        <v>2.6602388441783553</v>
      </c>
    </row>
    <row r="108" spans="2:8" x14ac:dyDescent="0.25">
      <c r="B108" s="14" t="s">
        <v>60</v>
      </c>
      <c r="C108" s="13">
        <v>2.2426310771866174</v>
      </c>
      <c r="D108" s="13">
        <v>2.59</v>
      </c>
      <c r="E108" s="61">
        <v>2.5093676814988291</v>
      </c>
      <c r="F108" s="13">
        <v>2.58</v>
      </c>
      <c r="G108" s="13">
        <f>AVERAGE(C108:F108)</f>
        <v>2.4804996896713618</v>
      </c>
    </row>
    <row r="109" spans="2:8" x14ac:dyDescent="0.25">
      <c r="B109" s="14" t="s">
        <v>61</v>
      </c>
      <c r="C109" s="13">
        <v>2.1430923364345968</v>
      </c>
      <c r="D109" s="13">
        <v>2.59</v>
      </c>
      <c r="E109" s="61">
        <v>2.14</v>
      </c>
      <c r="F109" s="13">
        <v>2.58</v>
      </c>
      <c r="G109" s="13">
        <f>AVERAGE(C109:F109)</f>
        <v>2.3632730841086493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">
        <v>1.61</v>
      </c>
      <c r="F111" s="13">
        <v>1.8</v>
      </c>
      <c r="G111" s="13">
        <f>AVERAGE(C111:F111)</f>
        <v>1.84</v>
      </c>
    </row>
    <row r="112" spans="2:8" x14ac:dyDescent="0.25">
      <c r="B112" s="14" t="s">
        <v>60</v>
      </c>
      <c r="C112" s="13">
        <v>1.9901530612244924</v>
      </c>
      <c r="D112" s="13">
        <v>2.13</v>
      </c>
      <c r="E112" s="3">
        <v>1.84</v>
      </c>
      <c r="F112" s="13">
        <v>2.12</v>
      </c>
      <c r="G112" s="13">
        <f>AVERAGE(C112:F112)</f>
        <v>2.0200382653061233</v>
      </c>
    </row>
    <row r="113" spans="2:9" x14ac:dyDescent="0.25">
      <c r="B113" s="14" t="s">
        <v>61</v>
      </c>
      <c r="C113" s="13">
        <v>1.8731753530867199</v>
      </c>
      <c r="D113" s="13">
        <v>2.13</v>
      </c>
      <c r="E113" s="3">
        <v>1.95</v>
      </c>
      <c r="F113" s="13">
        <v>2.12</v>
      </c>
      <c r="G113" s="13">
        <f>AVERAGE(C113:F113)</f>
        <v>2.01829383827168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1.5145946835796091</v>
      </c>
      <c r="D116" s="13">
        <v>1.79</v>
      </c>
      <c r="E116" s="61">
        <v>1.3678770949720669</v>
      </c>
      <c r="F116" s="13">
        <v>1.78</v>
      </c>
      <c r="G116" s="13">
        <f>AVERAGE(C116:F116)</f>
        <v>1.6131179446379191</v>
      </c>
    </row>
    <row r="117" spans="2:9" x14ac:dyDescent="0.25">
      <c r="B117" s="14" t="s">
        <v>60</v>
      </c>
      <c r="C117" s="13">
        <v>1.758654627108392</v>
      </c>
      <c r="D117" s="13">
        <v>1.79</v>
      </c>
      <c r="E117" s="61">
        <v>1.5919161676646707</v>
      </c>
      <c r="F117" s="13">
        <v>1.78</v>
      </c>
      <c r="G117" s="13">
        <f>AVERAGE(C117:F117)</f>
        <v>1.7301426986932658</v>
      </c>
    </row>
    <row r="118" spans="2:9" x14ac:dyDescent="0.25">
      <c r="B118" s="14" t="s">
        <v>61</v>
      </c>
      <c r="C118" s="13">
        <v>1.6123615830472964</v>
      </c>
      <c r="D118" s="13">
        <v>1.74</v>
      </c>
      <c r="E118" s="61">
        <v>1.8899037274746977</v>
      </c>
      <c r="F118" s="13">
        <v>1.74</v>
      </c>
      <c r="G118" s="13">
        <f>AVERAGE(C118:F118)</f>
        <v>1.7455663276304985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61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61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61">
        <v>1.5</v>
      </c>
      <c r="F122" s="13">
        <v>1.43</v>
      </c>
      <c r="G122" s="13">
        <f>AVERAGE(C122:F122)</f>
        <v>1.4474999999999998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2.1</v>
      </c>
      <c r="D127" s="11">
        <v>2.1160950000000001</v>
      </c>
      <c r="E127" s="13">
        <v>2.2562965749319654</v>
      </c>
      <c r="F127" s="11">
        <v>0</v>
      </c>
      <c r="G127" s="11">
        <f>AVERAGE(C127:E127)</f>
        <v>2.1574638583106549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239219</v>
      </c>
      <c r="D130" s="27">
        <v>3447</v>
      </c>
      <c r="E130" s="27">
        <v>8100</v>
      </c>
      <c r="F130" s="27">
        <v>763</v>
      </c>
      <c r="G130" s="27">
        <f>SUM(C130:F130)</f>
        <v>251529</v>
      </c>
    </row>
    <row r="131" spans="2:9" x14ac:dyDescent="0.25">
      <c r="B131" s="14" t="s">
        <v>71</v>
      </c>
      <c r="C131" s="27">
        <v>158899.670683</v>
      </c>
      <c r="D131" s="27">
        <v>3915</v>
      </c>
      <c r="E131" s="27">
        <v>977000</v>
      </c>
      <c r="F131" s="27">
        <v>772.83468400000004</v>
      </c>
      <c r="G131" s="11">
        <f>SUM(C131:F131)</f>
        <v>1140587.5053669999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838753</v>
      </c>
      <c r="D134" s="27">
        <v>405521</v>
      </c>
      <c r="E134" s="27">
        <v>152415</v>
      </c>
      <c r="F134" s="27">
        <v>372396</v>
      </c>
      <c r="G134" s="27">
        <f>SUM(C134:F134)</f>
        <v>1769085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15049</v>
      </c>
      <c r="G138" s="27">
        <f>SUM(C138:F138)</f>
        <v>15049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171</v>
      </c>
      <c r="G139" s="27">
        <f>SUM(C139:F139)</f>
        <v>171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797</v>
      </c>
      <c r="E146" s="27"/>
      <c r="F146" s="24">
        <v>678</v>
      </c>
      <c r="G146" s="27">
        <f>SUM(C146:F146)</f>
        <v>1475</v>
      </c>
    </row>
    <row r="147" spans="2:8" x14ac:dyDescent="0.25">
      <c r="B147" s="14" t="s">
        <v>82</v>
      </c>
      <c r="C147" s="27">
        <v>0</v>
      </c>
      <c r="D147" s="27">
        <v>17.456</v>
      </c>
      <c r="E147" s="27"/>
      <c r="F147" s="24">
        <v>7.1687500000000002</v>
      </c>
      <c r="G147" s="11">
        <f>SUM(C147:F147)</f>
        <v>24.624749999999999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1</v>
      </c>
      <c r="E150" s="27">
        <v>0</v>
      </c>
      <c r="F150" s="27">
        <v>0</v>
      </c>
      <c r="G150" s="27">
        <f>SUM(C150:F150)</f>
        <v>1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806</v>
      </c>
      <c r="E154" s="35">
        <v>0</v>
      </c>
      <c r="F154" s="34">
        <v>0</v>
      </c>
      <c r="G154" s="27">
        <f>SUM(C154:F154)</f>
        <v>806</v>
      </c>
      <c r="H154"/>
    </row>
    <row r="155" spans="2:8" x14ac:dyDescent="0.25">
      <c r="B155" s="14" t="s">
        <v>88</v>
      </c>
      <c r="C155" s="11">
        <v>0</v>
      </c>
      <c r="D155" s="27">
        <v>12.68</v>
      </c>
      <c r="E155" s="35">
        <v>0</v>
      </c>
      <c r="F155" s="34">
        <v>0</v>
      </c>
      <c r="G155" s="11">
        <f>SUM(C155:F155)</f>
        <v>12.68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f>D146+D150+D154</f>
        <v>1604</v>
      </c>
      <c r="E158" s="19">
        <v>0</v>
      </c>
      <c r="F158" s="19">
        <f>F146+F154</f>
        <v>678</v>
      </c>
      <c r="G158" s="19">
        <f>SUM(C158:F158)</f>
        <v>2282</v>
      </c>
    </row>
    <row r="159" spans="2:8" x14ac:dyDescent="0.25">
      <c r="B159" s="18" t="s">
        <v>91</v>
      </c>
      <c r="C159" s="19">
        <v>0</v>
      </c>
      <c r="D159" s="19">
        <f>D147+D151+D155</f>
        <v>30.215999999999998</v>
      </c>
      <c r="E159" s="19">
        <v>0</v>
      </c>
      <c r="F159" s="19">
        <f>F147+F155</f>
        <v>7.1687500000000002</v>
      </c>
      <c r="G159" s="22">
        <f>SUM(C159:F159)</f>
        <v>37.384749999999997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3089</v>
      </c>
      <c r="D162" s="27">
        <v>55037</v>
      </c>
      <c r="E162" s="27">
        <v>5452</v>
      </c>
      <c r="F162" s="27">
        <v>27825</v>
      </c>
      <c r="G162" s="27">
        <f>SUM(C162:F162)</f>
        <v>91403</v>
      </c>
    </row>
    <row r="163" spans="2:8" x14ac:dyDescent="0.25">
      <c r="B163" s="14" t="s">
        <v>88</v>
      </c>
      <c r="C163" s="27">
        <f>71482129/1000000</f>
        <v>71.482129</v>
      </c>
      <c r="D163" s="27">
        <v>178.22278399999996</v>
      </c>
      <c r="E163" s="27">
        <v>83.819799000000003</v>
      </c>
      <c r="F163" s="27">
        <v>172.275555</v>
      </c>
      <c r="G163" s="11">
        <f>SUM(C163:F163)</f>
        <v>505.80026699999996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1015</v>
      </c>
      <c r="D167" s="27">
        <v>4544</v>
      </c>
      <c r="E167" s="27">
        <v>102</v>
      </c>
      <c r="F167" s="27">
        <v>550</v>
      </c>
      <c r="G167" s="27">
        <f>SUM(C167:F167)</f>
        <v>6211</v>
      </c>
    </row>
    <row r="168" spans="2:8" x14ac:dyDescent="0.25">
      <c r="B168" s="14" t="s">
        <v>96</v>
      </c>
      <c r="C168" s="27">
        <f>35525000/1000000</f>
        <v>35.524999999999999</v>
      </c>
      <c r="D168" s="27">
        <v>113.389169</v>
      </c>
      <c r="E168" s="27">
        <v>3.5</v>
      </c>
      <c r="F168" s="27">
        <v>20.309999999999999</v>
      </c>
      <c r="G168" s="11">
        <f>SUM(C168:F168)</f>
        <v>172.72416899999999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1712</v>
      </c>
      <c r="D171" s="27">
        <v>349</v>
      </c>
      <c r="E171" s="27">
        <v>85</v>
      </c>
      <c r="F171" s="27">
        <v>339</v>
      </c>
      <c r="G171" s="27">
        <f>SUM(C171:F171)</f>
        <v>2485</v>
      </c>
    </row>
    <row r="172" spans="2:8" x14ac:dyDescent="0.25">
      <c r="B172" s="14" t="s">
        <v>96</v>
      </c>
      <c r="C172" s="27">
        <f>59920000/1000000</f>
        <v>59.92</v>
      </c>
      <c r="D172" s="27">
        <v>7.3289999999999997</v>
      </c>
      <c r="E172" s="27">
        <v>2.1</v>
      </c>
      <c r="F172" s="27">
        <v>8.4610000000000003</v>
      </c>
      <c r="G172" s="11">
        <f>SUM(C172:F172)</f>
        <v>77.809999999999988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202</v>
      </c>
      <c r="D175" s="27">
        <v>350</v>
      </c>
      <c r="E175" s="27">
        <v>163</v>
      </c>
      <c r="F175" s="27">
        <v>42</v>
      </c>
      <c r="G175" s="27">
        <f>SUM(C175:F175)</f>
        <v>757</v>
      </c>
    </row>
    <row r="176" spans="2:8" x14ac:dyDescent="0.25">
      <c r="B176" s="14" t="s">
        <v>96</v>
      </c>
      <c r="C176" s="27">
        <f>21040000/1000000</f>
        <v>21.04</v>
      </c>
      <c r="D176" s="27">
        <v>36.92</v>
      </c>
      <c r="E176" s="27">
        <v>9.06</v>
      </c>
      <c r="F176" s="27">
        <v>4.43</v>
      </c>
      <c r="G176" s="11">
        <f>SUM(C176:F176)</f>
        <v>71.449999999999989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354</v>
      </c>
      <c r="D179" s="27">
        <v>178916</v>
      </c>
      <c r="E179" s="27">
        <v>0</v>
      </c>
      <c r="F179" s="27">
        <v>0</v>
      </c>
      <c r="G179" s="27">
        <f>SUM(C179:F179)</f>
        <v>179270</v>
      </c>
    </row>
    <row r="180" spans="2:8" x14ac:dyDescent="0.25">
      <c r="B180" s="14" t="s">
        <v>96</v>
      </c>
      <c r="C180" s="27">
        <f>14315000/1000000</f>
        <v>14.315</v>
      </c>
      <c r="D180" s="27">
        <v>4135.3051836915802</v>
      </c>
      <c r="E180" s="27">
        <v>0</v>
      </c>
      <c r="F180" s="27">
        <v>0</v>
      </c>
      <c r="G180" s="11">
        <f>SUM(C180:F180)</f>
        <v>4149.6201836915798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3283</v>
      </c>
      <c r="D183" s="19">
        <f>D167+D171+D175+D179</f>
        <v>184159</v>
      </c>
      <c r="E183" s="19">
        <v>350</v>
      </c>
      <c r="F183" s="19">
        <f>+F179+F175+F171+F167</f>
        <v>931</v>
      </c>
      <c r="G183" s="19">
        <f>SUM(C183:F183)</f>
        <v>188723</v>
      </c>
    </row>
    <row r="184" spans="2:8" x14ac:dyDescent="0.25">
      <c r="B184" s="18" t="s">
        <v>103</v>
      </c>
      <c r="C184" s="19">
        <f>+C180+C176+C172+C168</f>
        <v>130.80000000000001</v>
      </c>
      <c r="D184" s="19">
        <f>D168+D172+D176+D180</f>
        <v>4292.94335269158</v>
      </c>
      <c r="E184" s="19">
        <v>14.66</v>
      </c>
      <c r="F184" s="19">
        <f>+F180+F176+F172+F168</f>
        <v>33.201000000000001</v>
      </c>
      <c r="G184" s="22">
        <f>SUM(C184:F184)</f>
        <v>4471.6043526915801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1597</v>
      </c>
      <c r="D187" s="27"/>
      <c r="E187" s="27">
        <v>89</v>
      </c>
      <c r="F187" s="27">
        <v>29434</v>
      </c>
      <c r="G187" s="27">
        <f>SUM(C187:F187)</f>
        <v>31120</v>
      </c>
    </row>
    <row r="188" spans="2:8" x14ac:dyDescent="0.25">
      <c r="B188" s="14" t="s">
        <v>106</v>
      </c>
      <c r="C188" s="27">
        <f>15696454/1000000</f>
        <v>15.696453999999999</v>
      </c>
      <c r="D188" s="27"/>
      <c r="E188" s="27">
        <v>3.5</v>
      </c>
      <c r="F188" s="27">
        <v>212.64530500000001</v>
      </c>
      <c r="G188" s="11">
        <f>SUM(C188:F188)</f>
        <v>231.841759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7969</v>
      </c>
      <c r="D191" s="19"/>
      <c r="E191" s="19">
        <v>5891</v>
      </c>
      <c r="F191" s="19">
        <f>F158+F162+F183+F187</f>
        <v>58868</v>
      </c>
      <c r="G191" s="19">
        <f>SUM(C191:F191)</f>
        <v>72728</v>
      </c>
    </row>
    <row r="192" spans="2:8" x14ac:dyDescent="0.25">
      <c r="B192" s="18" t="s">
        <v>109</v>
      </c>
      <c r="C192" s="19">
        <f>C188+C163+C184</f>
        <v>217.97858300000001</v>
      </c>
      <c r="D192" s="19"/>
      <c r="E192" s="19">
        <v>101.979799</v>
      </c>
      <c r="F192" s="19">
        <f>F159+F184+F163+F188</f>
        <v>425.29061000000002</v>
      </c>
      <c r="G192" s="22">
        <f>SUM(C192:F192)</f>
        <v>745.24899200000004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7EC6-15E3-4BD2-9952-2FCC64673A2B}">
  <dimension ref="A1:BD196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87">
        <v>55037</v>
      </c>
      <c r="D6" s="87">
        <v>8170</v>
      </c>
      <c r="E6" s="87">
        <v>7980</v>
      </c>
      <c r="F6" s="87">
        <v>9612</v>
      </c>
      <c r="G6" s="12">
        <f>+F6+E6+D6+C6</f>
        <v>80799</v>
      </c>
    </row>
    <row r="7" spans="1:7" x14ac:dyDescent="0.25">
      <c r="B7" s="14" t="s">
        <v>10</v>
      </c>
      <c r="C7" s="87">
        <v>556</v>
      </c>
      <c r="D7" s="87">
        <v>256</v>
      </c>
      <c r="E7" s="87">
        <v>24</v>
      </c>
      <c r="F7" s="24">
        <v>139</v>
      </c>
      <c r="G7" s="12">
        <f>+F7+E7+D7+C7</f>
        <v>975</v>
      </c>
    </row>
    <row r="8" spans="1:7" x14ac:dyDescent="0.25">
      <c r="B8" s="18" t="s">
        <v>11</v>
      </c>
      <c r="C8" s="25">
        <f>SUM(C6:C7)</f>
        <v>55593</v>
      </c>
      <c r="D8" s="25">
        <f>+D6+D7</f>
        <v>8426</v>
      </c>
      <c r="E8" s="25">
        <v>8004</v>
      </c>
      <c r="F8" s="25">
        <v>9751</v>
      </c>
      <c r="G8" s="25">
        <f>+F8+E8+D8+C8</f>
        <v>81774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766332</v>
      </c>
      <c r="D12" s="17">
        <v>96919</v>
      </c>
      <c r="E12" s="17">
        <v>39465</v>
      </c>
      <c r="F12" s="17">
        <v>0</v>
      </c>
      <c r="G12" s="17">
        <f>SUM(C12:F12)</f>
        <v>902716</v>
      </c>
    </row>
    <row r="13" spans="1:7" x14ac:dyDescent="0.25">
      <c r="B13" s="16" t="s">
        <v>15</v>
      </c>
      <c r="C13" s="17">
        <v>2710868</v>
      </c>
      <c r="D13" s="17">
        <v>569794</v>
      </c>
      <c r="E13" s="17">
        <v>231556</v>
      </c>
      <c r="F13" s="17">
        <v>0</v>
      </c>
      <c r="G13" s="17">
        <f>SUM(C13:F13)</f>
        <v>3512218</v>
      </c>
    </row>
    <row r="14" spans="1:7" x14ac:dyDescent="0.25">
      <c r="B14" s="18" t="s">
        <v>16</v>
      </c>
      <c r="C14" s="19">
        <f>C13+C12</f>
        <v>3477200</v>
      </c>
      <c r="D14" s="19">
        <v>950387</v>
      </c>
      <c r="E14" s="19">
        <v>271021</v>
      </c>
      <c r="F14" s="19">
        <v>344853</v>
      </c>
      <c r="G14" s="19">
        <f>SUM(C14:F14)</f>
        <v>5043461</v>
      </c>
    </row>
    <row r="15" spans="1:7" x14ac:dyDescent="0.25">
      <c r="B15" s="18" t="s">
        <v>17</v>
      </c>
      <c r="C15" s="19">
        <v>548745</v>
      </c>
      <c r="D15" s="19">
        <v>179384</v>
      </c>
      <c r="E15" s="19">
        <v>3396</v>
      </c>
      <c r="F15" s="19">
        <v>155655</v>
      </c>
      <c r="G15" s="19">
        <f>SUM(C15:F15)</f>
        <v>887180</v>
      </c>
    </row>
    <row r="16" spans="1:7" x14ac:dyDescent="0.25">
      <c r="B16" s="18" t="s">
        <v>18</v>
      </c>
      <c r="C16" s="19">
        <f>C15+C14</f>
        <v>4025945</v>
      </c>
      <c r="D16" s="19">
        <f>+D14+D15</f>
        <v>1129771</v>
      </c>
      <c r="E16" s="19">
        <v>274417</v>
      </c>
      <c r="F16" s="19">
        <v>500508</v>
      </c>
      <c r="G16" s="19">
        <f>SUM(C16:F16)</f>
        <v>5930641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3459</v>
      </c>
      <c r="D19" s="27">
        <v>4</v>
      </c>
      <c r="E19" s="27">
        <v>0</v>
      </c>
      <c r="F19" s="27">
        <v>0</v>
      </c>
      <c r="G19" s="27">
        <f>SUM(C19:F19)</f>
        <v>3463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C16+C19</f>
        <v>4029404</v>
      </c>
      <c r="D21" s="19">
        <v>1129775</v>
      </c>
      <c r="E21" s="19">
        <v>274417</v>
      </c>
      <c r="F21" s="19">
        <f>F16</f>
        <v>500508</v>
      </c>
      <c r="G21" s="19">
        <f>SUM(C21:F21)</f>
        <v>5934104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405117</v>
      </c>
      <c r="D24" s="19">
        <v>210609</v>
      </c>
      <c r="E24" s="19">
        <v>157999</v>
      </c>
      <c r="F24" s="19">
        <v>688851</v>
      </c>
      <c r="G24" s="19">
        <f>SUM(C24:F24)</f>
        <v>1462576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4434521</v>
      </c>
      <c r="D27" s="19">
        <f>+D24+D21</f>
        <v>1340384</v>
      </c>
      <c r="E27" s="19">
        <f>+E21+E24</f>
        <v>432416</v>
      </c>
      <c r="F27" s="19">
        <f>+F24+F21</f>
        <v>1189359</v>
      </c>
      <c r="G27" s="19">
        <f>SUM(C27:F27)</f>
        <v>7396680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1219512</v>
      </c>
      <c r="D30" s="27">
        <v>126576</v>
      </c>
      <c r="E30" s="27">
        <v>75430</v>
      </c>
      <c r="F30" s="27">
        <v>184038</v>
      </c>
      <c r="G30" s="27">
        <f>SUM(C30:F30)</f>
        <v>1605556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4631489754503</v>
      </c>
      <c r="D33" s="27">
        <v>710603877707</v>
      </c>
      <c r="E33" s="27">
        <v>310847721131</v>
      </c>
      <c r="F33" s="27">
        <v>526138126700</v>
      </c>
      <c r="G33" s="27">
        <f>SUM(C33:F33)</f>
        <v>6179079480041</v>
      </c>
    </row>
    <row r="34" spans="2:9" x14ac:dyDescent="0.25">
      <c r="B34" s="14" t="s">
        <v>30</v>
      </c>
      <c r="C34" s="27">
        <v>179648639344</v>
      </c>
      <c r="D34" s="27">
        <v>74774700908</v>
      </c>
      <c r="E34" s="27">
        <v>49745375300</v>
      </c>
      <c r="F34" s="27">
        <v>213083426495</v>
      </c>
      <c r="G34" s="27">
        <f>SUM(C34:F34)</f>
        <v>517252142047</v>
      </c>
    </row>
    <row r="35" spans="2:9" x14ac:dyDescent="0.25">
      <c r="B35" s="39" t="s">
        <v>31</v>
      </c>
      <c r="C35" s="40">
        <f>SUM(C33:C34)</f>
        <v>4811138393847</v>
      </c>
      <c r="D35" s="40">
        <f>+D34+D33</f>
        <v>785378578615</v>
      </c>
      <c r="E35" s="40">
        <v>360593096431</v>
      </c>
      <c r="F35" s="40">
        <v>739221553195</v>
      </c>
      <c r="G35" s="40">
        <f>SUM(C35:F35)</f>
        <v>6696331622088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742669</v>
      </c>
      <c r="D40" s="27">
        <v>113139</v>
      </c>
      <c r="E40" s="27">
        <v>48273</v>
      </c>
      <c r="F40" s="27">
        <v>65916</v>
      </c>
      <c r="G40" s="27">
        <f>SUM(C40:F40)</f>
        <v>969997</v>
      </c>
      <c r="H40" s="7"/>
      <c r="I40" s="7"/>
    </row>
    <row r="41" spans="2:9" x14ac:dyDescent="0.25">
      <c r="B41" s="14" t="s">
        <v>36</v>
      </c>
      <c r="C41" s="27">
        <f>4330658521/1000000</f>
        <v>4330.6585210000003</v>
      </c>
      <c r="D41" s="27">
        <v>1260.704297</v>
      </c>
      <c r="E41" s="27">
        <v>513.5</v>
      </c>
      <c r="F41" s="27">
        <v>675.60136799999998</v>
      </c>
      <c r="G41" s="11">
        <f>SUM(C41:F41)</f>
        <v>6780.4641860000002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3</v>
      </c>
      <c r="D44" s="27">
        <v>17</v>
      </c>
      <c r="E44" s="27"/>
      <c r="F44" s="27">
        <v>0</v>
      </c>
      <c r="G44" s="27">
        <f>SUM(C44:F44)</f>
        <v>20</v>
      </c>
      <c r="H44" s="7"/>
      <c r="I44" s="7"/>
    </row>
    <row r="45" spans="2:9" x14ac:dyDescent="0.25">
      <c r="B45" s="14" t="s">
        <v>39</v>
      </c>
      <c r="C45" s="27">
        <f>4921364/1000000</f>
        <v>4.9213639999999996</v>
      </c>
      <c r="D45" s="27">
        <v>0.27741199999999999</v>
      </c>
      <c r="E45" s="27"/>
      <c r="F45" s="27">
        <v>0</v>
      </c>
      <c r="G45" s="11">
        <f>SUM(C45:F45)</f>
        <v>5.1987759999999996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145990</v>
      </c>
      <c r="D48" s="27">
        <v>72886</v>
      </c>
      <c r="E48" s="27">
        <v>10039</v>
      </c>
      <c r="F48" s="27">
        <v>56109</v>
      </c>
      <c r="G48" s="27">
        <f>SUM(C48:F48)</f>
        <v>285024</v>
      </c>
      <c r="H48" s="7"/>
      <c r="I48" s="7"/>
    </row>
    <row r="49" spans="2:9" x14ac:dyDescent="0.25">
      <c r="B49" s="14" t="s">
        <v>42</v>
      </c>
      <c r="C49" s="27">
        <f>(99885867639+1577489715)/1000000</f>
        <v>101463.35735400001</v>
      </c>
      <c r="D49" s="27">
        <v>31724</v>
      </c>
      <c r="E49" s="27">
        <v>11075.880341</v>
      </c>
      <c r="F49" s="27">
        <v>12916.873245999999</v>
      </c>
      <c r="G49" s="11">
        <f>SUM(C49:F49)</f>
        <v>157180.11094100002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98285</v>
      </c>
      <c r="D55" s="27">
        <v>7225</v>
      </c>
      <c r="E55" s="27">
        <v>1466</v>
      </c>
      <c r="F55" s="27">
        <v>3672</v>
      </c>
      <c r="G55" s="27">
        <f t="shared" ref="G55:G71" si="0">SUM(C55:F55)</f>
        <v>110648</v>
      </c>
    </row>
    <row r="56" spans="2:9" x14ac:dyDescent="0.25">
      <c r="B56" s="14" t="s">
        <v>47</v>
      </c>
      <c r="C56" s="27">
        <v>82496.092579000004</v>
      </c>
      <c r="D56" s="27">
        <v>10844.092941000299</v>
      </c>
      <c r="E56" s="27">
        <v>2364.8815460000001</v>
      </c>
      <c r="F56" s="27">
        <v>5694</v>
      </c>
      <c r="G56" s="27">
        <f t="shared" si="0"/>
        <v>101399.06706600031</v>
      </c>
    </row>
    <row r="57" spans="2:9" x14ac:dyDescent="0.25">
      <c r="B57" s="14" t="s">
        <v>48</v>
      </c>
      <c r="C57" s="27">
        <v>14.708022587373501</v>
      </c>
      <c r="D57" s="27">
        <v>36</v>
      </c>
      <c r="E57" s="27">
        <v>20.922919508867668</v>
      </c>
      <c r="F57" s="27">
        <v>21</v>
      </c>
      <c r="G57" s="27">
        <f>AVERAGE(C57:F57)</f>
        <v>23.157735524060293</v>
      </c>
    </row>
    <row r="58" spans="2:9" x14ac:dyDescent="0.25">
      <c r="B58" s="14" t="s">
        <v>49</v>
      </c>
      <c r="C58" s="27">
        <v>938231</v>
      </c>
      <c r="D58" s="27">
        <v>160875</v>
      </c>
      <c r="E58" s="27">
        <v>53839</v>
      </c>
      <c r="F58" s="27">
        <v>85560</v>
      </c>
      <c r="G58" s="27">
        <f t="shared" si="0"/>
        <v>1238505</v>
      </c>
    </row>
    <row r="59" spans="2:9" x14ac:dyDescent="0.25">
      <c r="B59" s="14" t="s">
        <v>50</v>
      </c>
      <c r="C59" s="27">
        <v>2043669.3137079999</v>
      </c>
      <c r="D59" s="27">
        <v>298433.610865</v>
      </c>
      <c r="E59" s="27">
        <v>111476.093318</v>
      </c>
      <c r="F59" s="27">
        <v>203964</v>
      </c>
      <c r="G59" s="11">
        <f t="shared" si="0"/>
        <v>2657543.017891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4848</v>
      </c>
      <c r="D67" s="27">
        <v>2068</v>
      </c>
      <c r="E67" s="27">
        <v>2145</v>
      </c>
      <c r="F67" s="27">
        <v>7619</v>
      </c>
      <c r="G67" s="27">
        <f t="shared" si="0"/>
        <v>16680</v>
      </c>
    </row>
    <row r="68" spans="2:8" x14ac:dyDescent="0.25">
      <c r="B68" s="14" t="s">
        <v>47</v>
      </c>
      <c r="C68" s="27">
        <v>4382.5636430000004</v>
      </c>
      <c r="D68" s="27">
        <v>2229.7734880000098</v>
      </c>
      <c r="E68" s="27">
        <v>2928.8318140000001</v>
      </c>
      <c r="F68" s="27">
        <v>6765</v>
      </c>
      <c r="G68" s="27">
        <f t="shared" si="0"/>
        <v>16306.16894500001</v>
      </c>
    </row>
    <row r="69" spans="2:8" x14ac:dyDescent="0.25">
      <c r="B69" s="14" t="s">
        <v>48</v>
      </c>
      <c r="C69" s="27">
        <v>32.428630363036298</v>
      </c>
      <c r="D69" s="27">
        <v>54</v>
      </c>
      <c r="E69" s="27">
        <v>51.406060606060606</v>
      </c>
      <c r="F69" s="27">
        <v>39</v>
      </c>
      <c r="G69" s="27">
        <f>AVERAGE(C69:F69)</f>
        <v>44.208672742274224</v>
      </c>
    </row>
    <row r="70" spans="2:8" x14ac:dyDescent="0.25">
      <c r="B70" s="14" t="s">
        <v>49</v>
      </c>
      <c r="C70" s="27">
        <v>141333</v>
      </c>
      <c r="D70" s="27">
        <v>92843</v>
      </c>
      <c r="E70" s="27">
        <v>77532</v>
      </c>
      <c r="F70" s="27">
        <v>286562</v>
      </c>
      <c r="G70" s="27">
        <f t="shared" si="0"/>
        <v>598270</v>
      </c>
    </row>
    <row r="71" spans="2:8" x14ac:dyDescent="0.25">
      <c r="B71" s="14" t="s">
        <v>50</v>
      </c>
      <c r="C71" s="27">
        <v>153969.207891</v>
      </c>
      <c r="D71" s="27">
        <v>112735.854049</v>
      </c>
      <c r="E71" s="27">
        <v>86250.874049999999</v>
      </c>
      <c r="F71" s="27">
        <v>278065</v>
      </c>
      <c r="G71" s="11">
        <f t="shared" si="0"/>
        <v>631020.93598999991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103133</v>
      </c>
      <c r="D73" s="19">
        <f>+D67+D61+D55</f>
        <v>9293</v>
      </c>
      <c r="E73" s="19">
        <v>3611</v>
      </c>
      <c r="F73" s="19">
        <f t="shared" ref="F73:F74" si="1">+F55+F67</f>
        <v>11291</v>
      </c>
      <c r="G73" s="19">
        <f>SUM(C73:F73)</f>
        <v>127328</v>
      </c>
    </row>
    <row r="74" spans="2:8" x14ac:dyDescent="0.25">
      <c r="B74" s="18" t="s">
        <v>47</v>
      </c>
      <c r="C74" s="19">
        <f>+C56+C68</f>
        <v>86878.656222000005</v>
      </c>
      <c r="D74" s="19">
        <f>+D68+D62+D56</f>
        <v>13073.866429000309</v>
      </c>
      <c r="E74" s="19">
        <v>5293.7133599999997</v>
      </c>
      <c r="F74" s="19">
        <f t="shared" si="1"/>
        <v>12459</v>
      </c>
      <c r="G74" s="22">
        <f>SUM(C74:F74)</f>
        <v>117705.23601100031</v>
      </c>
    </row>
    <row r="75" spans="2:8" x14ac:dyDescent="0.25">
      <c r="B75" s="18" t="s">
        <v>48</v>
      </c>
      <c r="C75" s="19">
        <v>15.5410198481572</v>
      </c>
      <c r="D75" s="19">
        <f>(+D57+D63+D69)/3</f>
        <v>30</v>
      </c>
      <c r="E75" s="19">
        <v>39.030462475768488</v>
      </c>
      <c r="F75" s="19">
        <f>(F57+F69)/2</f>
        <v>30</v>
      </c>
      <c r="G75" s="19">
        <f>AVERAGE(C75:F75)</f>
        <v>28.642870580981423</v>
      </c>
    </row>
    <row r="76" spans="2:8" x14ac:dyDescent="0.25">
      <c r="B76" s="18" t="s">
        <v>49</v>
      </c>
      <c r="C76" s="19">
        <f>+C58+C70</f>
        <v>1079564</v>
      </c>
      <c r="D76" s="19">
        <f t="shared" ref="D76" si="2">+D70+D64+D58</f>
        <v>253718</v>
      </c>
      <c r="E76" s="19">
        <v>131371</v>
      </c>
      <c r="F76" s="19">
        <f t="shared" ref="F76:F77" si="3">+F58+F70</f>
        <v>372122</v>
      </c>
      <c r="G76" s="19">
        <f>SUM(C76:F76)</f>
        <v>1836775</v>
      </c>
    </row>
    <row r="77" spans="2:8" x14ac:dyDescent="0.25">
      <c r="B77" s="18" t="s">
        <v>50</v>
      </c>
      <c r="C77" s="19">
        <f>+C59+C71</f>
        <v>2197638.5215989999</v>
      </c>
      <c r="D77" s="19">
        <f>+D71+D65+D59</f>
        <v>411169.46491400001</v>
      </c>
      <c r="E77" s="19">
        <v>197726.96736800001</v>
      </c>
      <c r="F77" s="19">
        <f t="shared" si="3"/>
        <v>482029</v>
      </c>
      <c r="G77" s="22">
        <f>SUM(C77:F77)</f>
        <v>3288563.9538810002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972</v>
      </c>
      <c r="D84" s="24">
        <v>110</v>
      </c>
      <c r="E84" s="24">
        <v>5</v>
      </c>
      <c r="F84" s="24">
        <v>90</v>
      </c>
      <c r="G84" s="24">
        <f>SUM(C84:F84)</f>
        <v>1177</v>
      </c>
    </row>
    <row r="85" spans="2:7" x14ac:dyDescent="0.25">
      <c r="B85" s="14" t="s">
        <v>50</v>
      </c>
      <c r="C85" s="24">
        <v>20866.85338</v>
      </c>
      <c r="D85" s="24">
        <v>1405</v>
      </c>
      <c r="E85" s="24">
        <v>62</v>
      </c>
      <c r="F85" s="24">
        <v>1664.260047</v>
      </c>
      <c r="G85" s="11">
        <f>SUM(C85:F85)</f>
        <v>23998.113427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168.98917599999999</v>
      </c>
      <c r="D97" s="24">
        <v>0</v>
      </c>
      <c r="E97" s="24">
        <v>0</v>
      </c>
      <c r="F97" s="24">
        <v>75.182525999999996</v>
      </c>
      <c r="G97" s="11">
        <f>SUM(C97:F97)</f>
        <v>244.17170199999998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982</v>
      </c>
      <c r="D102" s="19">
        <f t="shared" ref="D102:D103" si="4">+D96+D90+D84</f>
        <v>110</v>
      </c>
      <c r="E102" s="19">
        <f>+E84</f>
        <v>5</v>
      </c>
      <c r="F102" s="19">
        <f>+F96+F84</f>
        <v>96</v>
      </c>
      <c r="G102" s="19">
        <f>SUM(C102:F102)</f>
        <v>1193</v>
      </c>
    </row>
    <row r="103" spans="2:8" x14ac:dyDescent="0.25">
      <c r="B103" s="18" t="s">
        <v>50</v>
      </c>
      <c r="C103" s="19">
        <f>+C97+C85</f>
        <v>21035.842556</v>
      </c>
      <c r="D103" s="19">
        <f t="shared" si="4"/>
        <v>1405</v>
      </c>
      <c r="E103" s="19">
        <f>+E85</f>
        <v>62</v>
      </c>
      <c r="F103" s="19">
        <f>+F85+F97</f>
        <v>1739.442573</v>
      </c>
      <c r="G103" s="22">
        <f>SUM(C103:F103)</f>
        <v>24242.285129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2.8154942013898476</v>
      </c>
      <c r="D107" s="13">
        <v>2.5499999999999998</v>
      </c>
      <c r="E107" s="61">
        <v>2.8523076923076922</v>
      </c>
      <c r="F107" s="13">
        <v>2.54</v>
      </c>
      <c r="G107" s="13">
        <f>AVERAGE(C107:F107)</f>
        <v>2.6894504734243849</v>
      </c>
    </row>
    <row r="108" spans="2:8" x14ac:dyDescent="0.25">
      <c r="B108" s="14" t="s">
        <v>60</v>
      </c>
      <c r="C108" s="13">
        <v>2.2919528515543481</v>
      </c>
      <c r="D108" s="13">
        <v>2.59</v>
      </c>
      <c r="E108" s="61">
        <v>2.6432165605095541</v>
      </c>
      <c r="F108" s="13">
        <v>2.58</v>
      </c>
      <c r="G108" s="13">
        <f>AVERAGE(C108:F108)</f>
        <v>2.5262923530159753</v>
      </c>
    </row>
    <row r="109" spans="2:8" x14ac:dyDescent="0.25">
      <c r="B109" s="14" t="s">
        <v>61</v>
      </c>
      <c r="C109" s="13">
        <v>2.1747763295095357</v>
      </c>
      <c r="D109" s="13">
        <v>2.59</v>
      </c>
      <c r="E109" s="61">
        <v>2.603545150501672</v>
      </c>
      <c r="F109" s="13">
        <v>2.58</v>
      </c>
      <c r="G109" s="13">
        <f>AVERAGE(C109:F109)</f>
        <v>2.4870803700028019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13">
        <v>1.95</v>
      </c>
      <c r="F111" s="13">
        <v>1.8</v>
      </c>
      <c r="G111" s="13">
        <f>AVERAGE(C111:F111)</f>
        <v>1.925</v>
      </c>
    </row>
    <row r="112" spans="2:8" x14ac:dyDescent="0.25">
      <c r="B112" s="14" t="s">
        <v>60</v>
      </c>
      <c r="C112" s="13">
        <v>1.990178571428574</v>
      </c>
      <c r="D112" s="13">
        <v>2.13</v>
      </c>
      <c r="E112" s="13">
        <v>2.12</v>
      </c>
      <c r="F112" s="13">
        <v>2.12</v>
      </c>
      <c r="G112" s="13">
        <f>AVERAGE(C112:F112)</f>
        <v>2.0900446428571433</v>
      </c>
    </row>
    <row r="113" spans="2:9" x14ac:dyDescent="0.25">
      <c r="B113" s="14" t="s">
        <v>61</v>
      </c>
      <c r="C113" s="13">
        <v>1.8802219531880842</v>
      </c>
      <c r="D113" s="13">
        <v>2.13</v>
      </c>
      <c r="E113" s="13">
        <v>2.118740740740741</v>
      </c>
      <c r="F113" s="13">
        <v>2.12</v>
      </c>
      <c r="G113" s="13">
        <f>AVERAGE(C113:F113)</f>
        <v>2.0622406734822061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1.4637725118483609</v>
      </c>
      <c r="D116" s="13">
        <v>1.79</v>
      </c>
      <c r="E116" s="13">
        <v>1.7886821705426357</v>
      </c>
      <c r="F116" s="13">
        <v>1.78</v>
      </c>
      <c r="G116" s="13">
        <f>AVERAGE(C116:F116)</f>
        <v>1.7056136705977492</v>
      </c>
    </row>
    <row r="117" spans="2:9" x14ac:dyDescent="0.25">
      <c r="B117" s="14" t="s">
        <v>60</v>
      </c>
      <c r="C117" s="13">
        <v>1.756734469488799</v>
      </c>
      <c r="D117" s="13">
        <v>1.79</v>
      </c>
      <c r="E117" s="13">
        <v>1.7876428571428571</v>
      </c>
      <c r="F117" s="13">
        <v>1.78</v>
      </c>
      <c r="G117" s="13">
        <f>AVERAGE(C117:F117)</f>
        <v>1.778594331657914</v>
      </c>
    </row>
    <row r="118" spans="2:9" x14ac:dyDescent="0.25">
      <c r="B118" s="14" t="s">
        <v>61</v>
      </c>
      <c r="C118" s="13">
        <v>1.6989757856775047</v>
      </c>
      <c r="D118" s="13">
        <v>1.74</v>
      </c>
      <c r="E118" s="13">
        <v>1.7537243243243241</v>
      </c>
      <c r="F118" s="13">
        <v>1.74</v>
      </c>
      <c r="G118" s="13">
        <f>AVERAGE(C118:F118)</f>
        <v>1.7331750275004572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1.5773033707865167</v>
      </c>
      <c r="F122" s="13">
        <v>1.43</v>
      </c>
      <c r="G122" s="13">
        <f>AVERAGE(C122:F122)</f>
        <v>1.466825842696629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37">
        <v>2.0099999999999998</v>
      </c>
      <c r="D127" s="37">
        <v>2.1212029999999999</v>
      </c>
      <c r="E127" s="61">
        <v>2.2444554963931416</v>
      </c>
      <c r="F127" s="11">
        <v>0</v>
      </c>
      <c r="G127" s="11">
        <f>AVERAGE(C127:E127)</f>
        <v>2.1252194987977138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242189</v>
      </c>
      <c r="D130" s="27">
        <v>3447</v>
      </c>
      <c r="E130" s="27">
        <v>6108</v>
      </c>
      <c r="F130" s="27">
        <v>763</v>
      </c>
      <c r="G130" s="27">
        <f>SUM(C130:F130)</f>
        <v>252507</v>
      </c>
    </row>
    <row r="131" spans="2:9" x14ac:dyDescent="0.25">
      <c r="B131" s="14" t="s">
        <v>71</v>
      </c>
      <c r="C131" s="27">
        <v>157770.16698400001</v>
      </c>
      <c r="D131" s="27">
        <v>3840</v>
      </c>
      <c r="E131" s="27">
        <v>981656</v>
      </c>
      <c r="F131" s="27">
        <v>766.92422599999998</v>
      </c>
      <c r="G131" s="11">
        <f>SUM(C131:F131)</f>
        <v>1144033.09121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842210</v>
      </c>
      <c r="D134" s="27">
        <v>407919</v>
      </c>
      <c r="E134" s="27">
        <v>154129</v>
      </c>
      <c r="F134" s="27">
        <v>374450</v>
      </c>
      <c r="G134" s="27">
        <f>SUM(C134:F134)</f>
        <v>1778708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14997</v>
      </c>
      <c r="G138" s="27">
        <f>SUM(C138:F138)</f>
        <v>14997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138</v>
      </c>
      <c r="G139" s="27">
        <f>SUM(C139:F139)</f>
        <v>138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1040</v>
      </c>
      <c r="E146" s="27">
        <v>0</v>
      </c>
      <c r="F146" s="24">
        <v>354</v>
      </c>
      <c r="G146" s="27">
        <f>SUM(C146:F146)</f>
        <v>1394</v>
      </c>
    </row>
    <row r="147" spans="2:8" x14ac:dyDescent="0.25">
      <c r="B147" s="14" t="s">
        <v>82</v>
      </c>
      <c r="C147" s="27">
        <v>0</v>
      </c>
      <c r="D147" s="27">
        <v>22.841900000000003</v>
      </c>
      <c r="E147" s="27">
        <v>0</v>
      </c>
      <c r="F147" s="24">
        <v>4.2925000000000004</v>
      </c>
      <c r="G147" s="11">
        <f>SUM(C147:F147)</f>
        <v>27.134400000000003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1</v>
      </c>
      <c r="E150" s="27">
        <v>0</v>
      </c>
      <c r="F150" s="27">
        <v>0</v>
      </c>
      <c r="G150" s="27">
        <f>SUM(C150:F150)</f>
        <v>1</v>
      </c>
      <c r="H150"/>
    </row>
    <row r="151" spans="2:8" x14ac:dyDescent="0.25">
      <c r="B151" s="14" t="s">
        <v>85</v>
      </c>
      <c r="C151" s="27">
        <v>0</v>
      </c>
      <c r="D151" s="36">
        <v>2.1999999999999999E-2</v>
      </c>
      <c r="E151" s="27">
        <v>0</v>
      </c>
      <c r="F151" s="27">
        <v>0</v>
      </c>
      <c r="G151" s="11">
        <f>SUM(C151:F151)</f>
        <v>2.1999999999999999E-2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233</v>
      </c>
      <c r="E154" s="27">
        <v>2</v>
      </c>
      <c r="F154" s="27">
        <v>0</v>
      </c>
      <c r="G154" s="27">
        <f>SUM(C154:F154)</f>
        <v>235</v>
      </c>
      <c r="H154"/>
    </row>
    <row r="155" spans="2:8" x14ac:dyDescent="0.25">
      <c r="B155" s="14" t="s">
        <v>88</v>
      </c>
      <c r="C155" s="11">
        <v>0</v>
      </c>
      <c r="D155" s="27">
        <v>3.74</v>
      </c>
      <c r="E155" s="27">
        <v>0.09</v>
      </c>
      <c r="F155" s="27">
        <v>0</v>
      </c>
      <c r="G155" s="11">
        <f>SUM(C155:F155)</f>
        <v>3.83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f>D146+D150+D154</f>
        <v>1274</v>
      </c>
      <c r="E158" s="19">
        <v>2</v>
      </c>
      <c r="F158" s="19">
        <f t="shared" ref="F158:F159" si="5">+F146+F154</f>
        <v>354</v>
      </c>
      <c r="G158" s="19">
        <f>SUM(C158:F158)</f>
        <v>1630</v>
      </c>
    </row>
    <row r="159" spans="2:8" x14ac:dyDescent="0.25">
      <c r="B159" s="18" t="s">
        <v>91</v>
      </c>
      <c r="C159" s="19">
        <v>0</v>
      </c>
      <c r="D159" s="19">
        <f>D147+D151+D155</f>
        <v>26.603900000000003</v>
      </c>
      <c r="E159" s="19">
        <v>0.09</v>
      </c>
      <c r="F159" s="19">
        <f t="shared" si="5"/>
        <v>4.2925000000000004</v>
      </c>
      <c r="G159" s="22">
        <f>SUM(C159:F159)</f>
        <v>30.986400000000003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2790</v>
      </c>
      <c r="D162" s="27">
        <v>29507</v>
      </c>
      <c r="E162" s="27">
        <v>6448</v>
      </c>
      <c r="F162" s="27">
        <v>29159</v>
      </c>
      <c r="G162" s="27">
        <f>SUM(C162:F162)</f>
        <v>67904</v>
      </c>
    </row>
    <row r="163" spans="2:8" x14ac:dyDescent="0.25">
      <c r="B163" s="14" t="s">
        <v>88</v>
      </c>
      <c r="C163" s="27">
        <f>65884506/1000000</f>
        <v>65.884506000000002</v>
      </c>
      <c r="D163" s="27">
        <v>120.885418</v>
      </c>
      <c r="E163" s="27">
        <v>112.493146</v>
      </c>
      <c r="F163" s="27">
        <v>178.45978700000001</v>
      </c>
      <c r="G163" s="11">
        <f>SUM(C163:F163)</f>
        <v>477.72285699999998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1057</v>
      </c>
      <c r="D167" s="27">
        <v>2703</v>
      </c>
      <c r="E167" s="27">
        <v>104</v>
      </c>
      <c r="F167" s="27">
        <v>629</v>
      </c>
      <c r="G167" s="27">
        <f>SUM(C167:F167)</f>
        <v>4493</v>
      </c>
    </row>
    <row r="168" spans="2:8" x14ac:dyDescent="0.25">
      <c r="B168" s="14" t="s">
        <v>96</v>
      </c>
      <c r="C168" s="27">
        <f>36995000/1000000</f>
        <v>36.994999999999997</v>
      </c>
      <c r="D168" s="27">
        <v>57.723843000000002</v>
      </c>
      <c r="E168" s="27">
        <v>3.7</v>
      </c>
      <c r="F168" s="27">
        <v>23.96</v>
      </c>
      <c r="G168" s="11">
        <f>SUM(C168:F168)</f>
        <v>122.37884299999999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1794</v>
      </c>
      <c r="D171" s="27">
        <v>355</v>
      </c>
      <c r="E171" s="27">
        <v>73</v>
      </c>
      <c r="F171" s="27">
        <v>363</v>
      </c>
      <c r="G171" s="27">
        <f>SUM(C171:F171)</f>
        <v>2585</v>
      </c>
    </row>
    <row r="172" spans="2:8" x14ac:dyDescent="0.25">
      <c r="B172" s="14" t="s">
        <v>96</v>
      </c>
      <c r="C172" s="27">
        <f>62790000/1000000</f>
        <v>62.79</v>
      </c>
      <c r="D172" s="27">
        <v>7.4550000000000001</v>
      </c>
      <c r="E172" s="27">
        <v>1.8</v>
      </c>
      <c r="F172" s="27">
        <v>9.0589999999999993</v>
      </c>
      <c r="G172" s="11">
        <f>SUM(C172:F172)</f>
        <v>81.103999999999999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265</v>
      </c>
      <c r="D175" s="27">
        <v>350</v>
      </c>
      <c r="E175" s="27">
        <v>183</v>
      </c>
      <c r="F175" s="27">
        <v>38</v>
      </c>
      <c r="G175" s="27">
        <f>SUM(C175:F175)</f>
        <v>836</v>
      </c>
    </row>
    <row r="176" spans="2:8" x14ac:dyDescent="0.25">
      <c r="B176" s="14" t="s">
        <v>96</v>
      </c>
      <c r="C176" s="27">
        <f>27940000/1000000</f>
        <v>27.94</v>
      </c>
      <c r="D176" s="27">
        <v>36.92</v>
      </c>
      <c r="E176" s="27">
        <v>9.86</v>
      </c>
      <c r="F176" s="27">
        <v>3.95</v>
      </c>
      <c r="G176" s="11">
        <f>SUM(C176:F176)</f>
        <v>78.67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423</v>
      </c>
      <c r="D179" s="27">
        <v>167317</v>
      </c>
      <c r="E179" s="27">
        <v>0</v>
      </c>
      <c r="F179" s="27">
        <v>0</v>
      </c>
      <c r="G179" s="27">
        <f>SUM(C179:F179)</f>
        <v>167740</v>
      </c>
    </row>
    <row r="180" spans="2:8" x14ac:dyDescent="0.25">
      <c r="B180" s="14" t="s">
        <v>96</v>
      </c>
      <c r="C180" s="27">
        <f>17215000/1000000</f>
        <v>17.215</v>
      </c>
      <c r="D180" s="27">
        <v>539.49628799999994</v>
      </c>
      <c r="E180" s="27">
        <v>0</v>
      </c>
      <c r="F180" s="27">
        <v>0</v>
      </c>
      <c r="G180" s="11">
        <f>SUM(C180:F180)</f>
        <v>556.71128799999997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3539</v>
      </c>
      <c r="D183" s="19">
        <f>D167+D171+D175+D179</f>
        <v>170725</v>
      </c>
      <c r="E183" s="19">
        <v>360</v>
      </c>
      <c r="F183" s="19">
        <f>+F179+F175+F171+F167</f>
        <v>1030</v>
      </c>
      <c r="G183" s="19">
        <f>SUM(C183:F183)</f>
        <v>175654</v>
      </c>
    </row>
    <row r="184" spans="2:8" x14ac:dyDescent="0.25">
      <c r="B184" s="18" t="s">
        <v>103</v>
      </c>
      <c r="C184" s="19">
        <f>+C180+C176+C172+C168</f>
        <v>144.94</v>
      </c>
      <c r="D184" s="19">
        <f>D168+D172+D176+D180</f>
        <v>641.59513099999992</v>
      </c>
      <c r="E184" s="19">
        <v>15.36</v>
      </c>
      <c r="F184" s="19">
        <f>+F180+F176+F172+F168</f>
        <v>36.969000000000001</v>
      </c>
      <c r="G184" s="22">
        <f>SUM(C184:F184)</f>
        <v>838.86413099999993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1971</v>
      </c>
      <c r="D187" s="27">
        <v>2984</v>
      </c>
      <c r="E187" s="27">
        <v>92</v>
      </c>
      <c r="F187" s="27">
        <v>30543</v>
      </c>
      <c r="G187" s="27">
        <f>SUM(C187:F187)</f>
        <v>35590</v>
      </c>
    </row>
    <row r="188" spans="2:8" x14ac:dyDescent="0.25">
      <c r="B188" s="14" t="s">
        <v>106</v>
      </c>
      <c r="C188" s="27">
        <f>17881182/1000000</f>
        <v>17.881181999999999</v>
      </c>
      <c r="D188" s="27">
        <v>99.724046000000001</v>
      </c>
      <c r="E188" s="27">
        <v>3.65</v>
      </c>
      <c r="F188" s="27">
        <v>219.72128699999999</v>
      </c>
      <c r="G188" s="11">
        <f>SUM(C188:F188)</f>
        <v>340.97651500000001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8300</v>
      </c>
      <c r="D191" s="19">
        <v>204490</v>
      </c>
      <c r="E191" s="19">
        <v>6900</v>
      </c>
      <c r="F191" s="19">
        <f>F158+F162+F183+F187</f>
        <v>61086</v>
      </c>
      <c r="G191" s="19">
        <f>SUM(C191:F191)</f>
        <v>280776</v>
      </c>
    </row>
    <row r="192" spans="2:8" x14ac:dyDescent="0.25">
      <c r="B192" s="18" t="s">
        <v>109</v>
      </c>
      <c r="C192" s="19">
        <f>C188+C163+C184</f>
        <v>228.70568800000001</v>
      </c>
      <c r="D192" s="19">
        <v>888.80849499999988</v>
      </c>
      <c r="E192" s="19">
        <v>131.50314599999999</v>
      </c>
      <c r="F192" s="19">
        <f>F159+F184+F163+F188</f>
        <v>439.44257400000004</v>
      </c>
      <c r="G192" s="22">
        <f>SUM(C192:F192)</f>
        <v>1688.4599029999999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65:G165"/>
    <mergeCell ref="B166:G166"/>
    <mergeCell ref="B169:G169"/>
    <mergeCell ref="B170:G170"/>
    <mergeCell ref="B173:H173"/>
    <mergeCell ref="B174:G174"/>
    <mergeCell ref="B153:G153"/>
    <mergeCell ref="B156:H156"/>
    <mergeCell ref="B157:G157"/>
    <mergeCell ref="B160:H160"/>
    <mergeCell ref="B161:G161"/>
    <mergeCell ref="B164:G164"/>
    <mergeCell ref="B143:G143"/>
    <mergeCell ref="B144:H144"/>
    <mergeCell ref="B145:G145"/>
    <mergeCell ref="B148:H148"/>
    <mergeCell ref="B149:G149"/>
    <mergeCell ref="B152:H152"/>
    <mergeCell ref="B135:H135"/>
    <mergeCell ref="B136:G136"/>
    <mergeCell ref="B137:G137"/>
    <mergeCell ref="B140:H140"/>
    <mergeCell ref="B141:H141"/>
    <mergeCell ref="B142:G142"/>
    <mergeCell ref="B124:G124"/>
    <mergeCell ref="B126:G126"/>
    <mergeCell ref="B128:H128"/>
    <mergeCell ref="B129:G129"/>
    <mergeCell ref="B132:H132"/>
    <mergeCell ref="B133:G133"/>
    <mergeCell ref="B106:G106"/>
    <mergeCell ref="B110:G110"/>
    <mergeCell ref="B114:I114"/>
    <mergeCell ref="B115:G115"/>
    <mergeCell ref="B119:G119"/>
    <mergeCell ref="B123:H123"/>
    <mergeCell ref="B80:G80"/>
    <mergeCell ref="B86:G86"/>
    <mergeCell ref="B92:G92"/>
    <mergeCell ref="B98:G98"/>
    <mergeCell ref="B104:H104"/>
    <mergeCell ref="B105:G105"/>
    <mergeCell ref="B54:G54"/>
    <mergeCell ref="B60:G60"/>
    <mergeCell ref="B66:G66"/>
    <mergeCell ref="B72:G72"/>
    <mergeCell ref="B78:H78"/>
    <mergeCell ref="B79:G79"/>
    <mergeCell ref="B46:H46"/>
    <mergeCell ref="B47:G47"/>
    <mergeCell ref="B50:H50"/>
    <mergeCell ref="B51:G51"/>
    <mergeCell ref="B52:H52"/>
    <mergeCell ref="B53:G53"/>
    <mergeCell ref="B32:G32"/>
    <mergeCell ref="B36:H36"/>
    <mergeCell ref="B38:G38"/>
    <mergeCell ref="B39:G39"/>
    <mergeCell ref="B42:H42"/>
    <mergeCell ref="B43:G43"/>
    <mergeCell ref="B17:G17"/>
    <mergeCell ref="B18:G18"/>
    <mergeCell ref="B20:G20"/>
    <mergeCell ref="B28:H28"/>
    <mergeCell ref="B29:G29"/>
    <mergeCell ref="B31:H31"/>
    <mergeCell ref="C2:G2"/>
    <mergeCell ref="B4:G4"/>
    <mergeCell ref="B5:G5"/>
    <mergeCell ref="B9:G9"/>
    <mergeCell ref="B10:G10"/>
    <mergeCell ref="B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96"/>
  <sheetViews>
    <sheetView zoomScaleNormal="100" workbookViewId="0">
      <selection activeCell="C67" sqref="C67:C71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95749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106250</v>
      </c>
    </row>
    <row r="56" spans="2:9" x14ac:dyDescent="0.25">
      <c r="B56" s="14" t="s">
        <v>47</v>
      </c>
      <c r="C56" s="27">
        <v>50954.255687999997</v>
      </c>
      <c r="D56" s="27">
        <v>5929.3021079999698</v>
      </c>
      <c r="E56" s="27">
        <v>2015</v>
      </c>
      <c r="F56" s="27">
        <v>9416</v>
      </c>
      <c r="G56" s="27">
        <f t="shared" si="0"/>
        <v>68314.557795999965</v>
      </c>
    </row>
    <row r="57" spans="2:9" x14ac:dyDescent="0.25">
      <c r="B57" s="14" t="s">
        <v>48</v>
      </c>
      <c r="C57" s="27">
        <v>10.1654325371544</v>
      </c>
      <c r="D57" s="27">
        <v>36</v>
      </c>
      <c r="E57" s="27">
        <v>19</v>
      </c>
      <c r="F57" s="27">
        <v>29</v>
      </c>
      <c r="G57" s="27">
        <f>AVERAGE(C57:F57)</f>
        <v>23.5413581342886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3752</v>
      </c>
      <c r="D67" s="27">
        <v>1474</v>
      </c>
      <c r="E67" s="27">
        <v>1308</v>
      </c>
      <c r="F67" s="27">
        <v>11192</v>
      </c>
      <c r="G67" s="27">
        <f t="shared" si="0"/>
        <v>17726</v>
      </c>
    </row>
    <row r="68" spans="2:8" x14ac:dyDescent="0.25">
      <c r="B68" s="14" t="s">
        <v>47</v>
      </c>
      <c r="C68" s="27">
        <v>3097.8456890000002</v>
      </c>
      <c r="D68" s="27">
        <v>1402.2541570000001</v>
      </c>
      <c r="E68" s="27">
        <v>1567</v>
      </c>
      <c r="F68" s="27">
        <v>14514</v>
      </c>
      <c r="G68" s="27">
        <f t="shared" si="0"/>
        <v>20581.099846000001</v>
      </c>
    </row>
    <row r="69" spans="2:8" x14ac:dyDescent="0.25">
      <c r="B69" s="14" t="s">
        <v>48</v>
      </c>
      <c r="C69" s="27">
        <v>32.330223880597003</v>
      </c>
      <c r="D69" s="27">
        <v>53</v>
      </c>
      <c r="E69" s="27">
        <v>47</v>
      </c>
      <c r="F69" s="27">
        <v>38</v>
      </c>
      <c r="G69" s="27">
        <f>AVERAGE(C69:F69)</f>
        <v>42.582555970149251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99501</v>
      </c>
      <c r="D73" s="19">
        <v>6433</v>
      </c>
      <c r="E73" s="19">
        <v>2806</v>
      </c>
      <c r="F73" s="19">
        <v>15236</v>
      </c>
      <c r="G73" s="19">
        <f>SUM(C73:F73)</f>
        <v>123976</v>
      </c>
    </row>
    <row r="74" spans="2:8" x14ac:dyDescent="0.25">
      <c r="B74" s="18" t="s">
        <v>47</v>
      </c>
      <c r="C74" s="19">
        <f>+C56+C68</f>
        <v>54052.101376999999</v>
      </c>
      <c r="D74" s="19">
        <v>7331.5562649999702</v>
      </c>
      <c r="E74" s="19">
        <v>3582</v>
      </c>
      <c r="F74" s="19">
        <v>23930</v>
      </c>
      <c r="G74" s="22">
        <f>SUM(C74:F74)</f>
        <v>88895.657641999976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2240</v>
      </c>
      <c r="E146" s="27">
        <v>0</v>
      </c>
      <c r="F146" s="1">
        <v>583</v>
      </c>
      <c r="G146" s="27">
        <f>SUM(C146:F146)</f>
        <v>2823</v>
      </c>
    </row>
    <row r="147" spans="2:8" x14ac:dyDescent="0.25">
      <c r="B147" s="14" t="s">
        <v>82</v>
      </c>
      <c r="C147" s="27">
        <v>0</v>
      </c>
      <c r="D147" s="27">
        <v>50.917999999999999</v>
      </c>
      <c r="E147" s="27">
        <v>0</v>
      </c>
      <c r="F147" s="29">
        <v>6.6937499999999996</v>
      </c>
      <c r="G147" s="11">
        <f>SUM(C147:F147)</f>
        <v>57.611750000000001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40</v>
      </c>
      <c r="E154" s="35">
        <v>0</v>
      </c>
      <c r="F154" s="34">
        <v>0</v>
      </c>
      <c r="G154" s="27">
        <f>SUM(C154:F154)</f>
        <v>40</v>
      </c>
      <c r="H154"/>
    </row>
    <row r="155" spans="2:8" x14ac:dyDescent="0.25">
      <c r="B155" s="14" t="s">
        <v>88</v>
      </c>
      <c r="C155" s="11">
        <v>0</v>
      </c>
      <c r="D155" s="27">
        <v>0.61</v>
      </c>
      <c r="E155" s="35">
        <v>0</v>
      </c>
      <c r="F155" s="34">
        <v>0</v>
      </c>
      <c r="G155" s="11">
        <f>SUM(C155:F155)</f>
        <v>0.61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2280</v>
      </c>
      <c r="E158" s="19">
        <v>0</v>
      </c>
      <c r="F158" s="19">
        <f>+F146+F154</f>
        <v>583</v>
      </c>
      <c r="G158" s="19">
        <f>SUM(C158:F158)</f>
        <v>2863</v>
      </c>
    </row>
    <row r="159" spans="2:8" x14ac:dyDescent="0.25">
      <c r="B159" s="18" t="s">
        <v>91</v>
      </c>
      <c r="C159" s="19">
        <v>0</v>
      </c>
      <c r="D159" s="44">
        <v>51.527999999999999</v>
      </c>
      <c r="E159" s="19">
        <v>0</v>
      </c>
      <c r="F159" s="19">
        <f>+F147+F155</f>
        <v>6.6937499999999996</v>
      </c>
      <c r="G159" s="22">
        <f>SUM(C159:F159)</f>
        <v>58.22175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2724</v>
      </c>
      <c r="D162" s="27">
        <v>36738</v>
      </c>
      <c r="E162" s="27">
        <v>4694</v>
      </c>
      <c r="F162" s="27">
        <v>23250</v>
      </c>
      <c r="G162" s="27">
        <f>SUM(C162:F162)</f>
        <v>67406</v>
      </c>
    </row>
    <row r="163" spans="2:8" x14ac:dyDescent="0.25">
      <c r="B163" s="14" t="s">
        <v>88</v>
      </c>
      <c r="C163" s="27">
        <f>66497456/1000000</f>
        <v>66.497456</v>
      </c>
      <c r="D163" s="27">
        <v>260.87920700000001</v>
      </c>
      <c r="E163" s="27">
        <v>71.17</v>
      </c>
      <c r="F163" s="27">
        <v>200.99615900000001</v>
      </c>
      <c r="G163" s="11">
        <f>SUM(C163:F163)</f>
        <v>599.542822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833</v>
      </c>
      <c r="D167" s="27">
        <v>4681</v>
      </c>
      <c r="E167" s="27">
        <v>126</v>
      </c>
      <c r="F167" s="27">
        <v>659</v>
      </c>
      <c r="G167" s="27">
        <f>SUM(C167:F167)</f>
        <v>6299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115.148549</v>
      </c>
      <c r="E168" s="27">
        <v>3.15</v>
      </c>
      <c r="F168" s="27">
        <v>22.245000000000001</v>
      </c>
      <c r="G168" s="11">
        <f>SUM(C168:F168)</f>
        <v>169.69854900000001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1732</v>
      </c>
      <c r="D171" s="27">
        <v>616</v>
      </c>
      <c r="E171" s="27">
        <v>104</v>
      </c>
      <c r="F171" s="27">
        <v>402</v>
      </c>
      <c r="G171" s="27">
        <f>SUM(C171:F171)</f>
        <v>2854</v>
      </c>
    </row>
    <row r="172" spans="2:8" x14ac:dyDescent="0.25">
      <c r="B172" s="14" t="s">
        <v>96</v>
      </c>
      <c r="C172" s="27">
        <f>60620000/1000000</f>
        <v>60.62</v>
      </c>
      <c r="D172" s="27">
        <v>12.978</v>
      </c>
      <c r="E172" s="27">
        <v>2.6</v>
      </c>
      <c r="F172" s="27">
        <v>8.7520000000000007</v>
      </c>
      <c r="G172" s="11">
        <f>SUM(C172:F172)</f>
        <v>84.949999999999989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33.619999999999997</v>
      </c>
      <c r="E176" s="27">
        <v>8.4309999999999992</v>
      </c>
      <c r="F176" s="27">
        <v>3.58</v>
      </c>
      <c r="G176" s="11">
        <f>SUM(C176:F176)</f>
        <v>64.590999999999994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382</v>
      </c>
      <c r="D179" s="27">
        <v>170513</v>
      </c>
      <c r="E179" s="27">
        <v>0</v>
      </c>
      <c r="F179" s="27">
        <v>0</v>
      </c>
      <c r="G179" s="27">
        <f>SUM(C179:F179)</f>
        <v>170895</v>
      </c>
    </row>
    <row r="180" spans="2:8" x14ac:dyDescent="0.25">
      <c r="B180" s="14" t="s">
        <v>96</v>
      </c>
      <c r="C180" s="27">
        <f>11770000/1000000</f>
        <v>11.77</v>
      </c>
      <c r="D180" s="27">
        <v>3384.3677546567897</v>
      </c>
      <c r="E180" s="27">
        <v>0</v>
      </c>
      <c r="F180" s="27">
        <v>0</v>
      </c>
      <c r="G180" s="11">
        <f>SUM(C180:F180)</f>
        <v>3396.1377546567896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3129</v>
      </c>
      <c r="D183" s="19">
        <v>176128</v>
      </c>
      <c r="E183" s="19">
        <v>361</v>
      </c>
      <c r="F183" s="19">
        <f>+F179+F175+F171+F167</f>
        <v>1097</v>
      </c>
      <c r="G183" s="19">
        <f>SUM(C183:F183)</f>
        <v>180715</v>
      </c>
    </row>
    <row r="184" spans="2:8" x14ac:dyDescent="0.25">
      <c r="B184" s="18" t="s">
        <v>103</v>
      </c>
      <c r="C184" s="19">
        <f>+C180+C176+C172+C168</f>
        <v>120.505</v>
      </c>
      <c r="D184" s="19">
        <v>3546.1143036567896</v>
      </c>
      <c r="E184" s="19">
        <v>14.180999999999999</v>
      </c>
      <c r="F184" s="19">
        <f>+F180+F176+F172+F168</f>
        <v>34.576999999999998</v>
      </c>
      <c r="G184" s="22">
        <f>SUM(C184:F184)</f>
        <v>3715.37730365679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4461</v>
      </c>
      <c r="D187" s="27">
        <v>4440</v>
      </c>
      <c r="E187" s="27">
        <v>359</v>
      </c>
      <c r="F187" s="27">
        <f>F166+F171+F175+F179+F162</f>
        <v>23688</v>
      </c>
      <c r="G187" s="27">
        <f>SUM(C187:F187)</f>
        <v>32948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245.50747799999999</v>
      </c>
      <c r="E188" s="27">
        <v>37.56</v>
      </c>
      <c r="F188" s="27">
        <f>F167+F172+F176+F180+F163</f>
        <v>872.32815900000003</v>
      </c>
      <c r="G188" s="11">
        <f>SUM(C188:F188)</f>
        <v>1238.044539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10314</v>
      </c>
      <c r="D191" s="19">
        <v>219586</v>
      </c>
      <c r="E191" s="19">
        <v>5414</v>
      </c>
      <c r="F191" s="19">
        <f>F158+F162+F183+F187</f>
        <v>48618</v>
      </c>
      <c r="G191" s="19">
        <f>SUM(C191:F191)</f>
        <v>283932</v>
      </c>
    </row>
    <row r="192" spans="2:8" x14ac:dyDescent="0.25">
      <c r="B192" s="18" t="s">
        <v>109</v>
      </c>
      <c r="C192" s="19">
        <f>C188+C163+C184</f>
        <v>269.65135800000002</v>
      </c>
      <c r="D192" s="19">
        <v>4104.0289886567898</v>
      </c>
      <c r="E192" s="19">
        <v>122.911</v>
      </c>
      <c r="F192" s="19">
        <f>F159+F184+F163+F188</f>
        <v>1114.5950680000001</v>
      </c>
      <c r="G192" s="22">
        <f>SUM(C192:F192)</f>
        <v>5611.1864146567896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96"/>
  <sheetViews>
    <sheetView zoomScaleNormal="100" workbookViewId="0">
      <selection activeCell="B67" sqref="B67:B71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12">
        <v>96054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105956</v>
      </c>
    </row>
    <row r="56" spans="1:8" x14ac:dyDescent="0.25">
      <c r="A56" s="14" t="s">
        <v>47</v>
      </c>
      <c r="B56" s="12">
        <v>47196.530344999999</v>
      </c>
      <c r="C56" s="12">
        <v>7146.6286470000096</v>
      </c>
      <c r="D56" s="12">
        <v>1406</v>
      </c>
      <c r="E56" s="12">
        <v>9873</v>
      </c>
      <c r="F56" s="27">
        <f t="shared" si="0"/>
        <v>65622.158992000011</v>
      </c>
    </row>
    <row r="57" spans="1:8" x14ac:dyDescent="0.25">
      <c r="A57" s="14" t="s">
        <v>48</v>
      </c>
      <c r="B57" s="12">
        <v>10.144543694172</v>
      </c>
      <c r="C57" s="12">
        <v>38</v>
      </c>
      <c r="D57" s="12">
        <v>21</v>
      </c>
      <c r="E57" s="12">
        <v>30</v>
      </c>
      <c r="F57" s="27">
        <f>AVERAGE(B57:E57)</f>
        <v>24.786135923543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12">
        <v>3607</v>
      </c>
      <c r="C67" s="12">
        <v>1564</v>
      </c>
      <c r="D67" s="12">
        <v>898</v>
      </c>
      <c r="E67" s="12">
        <v>11634</v>
      </c>
      <c r="F67" s="27">
        <f t="shared" si="0"/>
        <v>17703</v>
      </c>
    </row>
    <row r="68" spans="1:7" x14ac:dyDescent="0.25">
      <c r="A68" s="14" t="s">
        <v>47</v>
      </c>
      <c r="B68" s="12">
        <v>3112.1497920000002</v>
      </c>
      <c r="C68" s="12">
        <v>1570.2594690000001</v>
      </c>
      <c r="D68" s="12">
        <v>892</v>
      </c>
      <c r="E68" s="12">
        <v>15457</v>
      </c>
      <c r="F68" s="27">
        <f t="shared" si="0"/>
        <v>21031.409261000001</v>
      </c>
    </row>
    <row r="69" spans="1:7" x14ac:dyDescent="0.25">
      <c r="A69" s="14" t="s">
        <v>48</v>
      </c>
      <c r="B69" s="12">
        <v>32.565289714444098</v>
      </c>
      <c r="C69" s="12">
        <v>54</v>
      </c>
      <c r="D69" s="12">
        <v>49</v>
      </c>
      <c r="E69" s="12">
        <v>39</v>
      </c>
      <c r="F69" s="27">
        <f>AVERAGE(B69:E69)</f>
        <v>43.641322428611026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f>+B55+B67</f>
        <v>99661</v>
      </c>
      <c r="C73" s="19">
        <v>6751</v>
      </c>
      <c r="D73" s="19">
        <v>1662</v>
      </c>
      <c r="E73" s="19">
        <v>15585</v>
      </c>
      <c r="F73" s="19">
        <f>SUM(B73:E73)</f>
        <v>123659</v>
      </c>
    </row>
    <row r="74" spans="1:7" x14ac:dyDescent="0.25">
      <c r="A74" s="18" t="s">
        <v>47</v>
      </c>
      <c r="B74" s="19">
        <f>+B56+B68</f>
        <v>50308.680137000003</v>
      </c>
      <c r="C74" s="19">
        <v>8716.8881160000092</v>
      </c>
      <c r="D74" s="19">
        <v>2298</v>
      </c>
      <c r="E74" s="19">
        <v>25330</v>
      </c>
      <c r="F74" s="22">
        <f>SUM(B74:E74)</f>
        <v>86653.568253000005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9784</v>
      </c>
      <c r="D146" s="27"/>
      <c r="E146" s="27">
        <v>2722</v>
      </c>
      <c r="F146" s="27">
        <f>SUM(B146:E146)</f>
        <v>12506</v>
      </c>
    </row>
    <row r="147" spans="1:7" x14ac:dyDescent="0.25">
      <c r="A147" s="14" t="s">
        <v>82</v>
      </c>
      <c r="B147" s="27">
        <v>0</v>
      </c>
      <c r="C147" s="27">
        <v>226.25200000000001</v>
      </c>
      <c r="D147" s="27"/>
      <c r="E147" s="29">
        <v>30.095749999999999</v>
      </c>
      <c r="F147" s="11">
        <f>SUM(B147:E147)</f>
        <v>256.34775000000002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14">
        <v>0</v>
      </c>
      <c r="C154" s="27">
        <v>59</v>
      </c>
      <c r="D154" s="35">
        <v>0</v>
      </c>
      <c r="E154" s="34">
        <v>0</v>
      </c>
      <c r="F154" s="27">
        <f>SUM(B154:E154)</f>
        <v>59</v>
      </c>
      <c r="G154"/>
    </row>
    <row r="155" spans="1:7" x14ac:dyDescent="0.25">
      <c r="A155" s="14" t="s">
        <v>88</v>
      </c>
      <c r="B155" s="11">
        <v>0</v>
      </c>
      <c r="C155" s="27">
        <v>0.75</v>
      </c>
      <c r="D155" s="35">
        <v>0</v>
      </c>
      <c r="E155" s="34">
        <v>0</v>
      </c>
      <c r="F155" s="11">
        <f>SUM(B155:E155)</f>
        <v>0.75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19">
        <v>9843</v>
      </c>
      <c r="D158" s="19">
        <v>0</v>
      </c>
      <c r="E158" s="19">
        <f>E146+E154</f>
        <v>2722</v>
      </c>
      <c r="F158" s="19">
        <f>SUM(B158:E158)</f>
        <v>12565</v>
      </c>
    </row>
    <row r="159" spans="1:7" x14ac:dyDescent="0.25">
      <c r="A159" s="18" t="s">
        <v>91</v>
      </c>
      <c r="B159" s="19">
        <v>0</v>
      </c>
      <c r="C159" s="19">
        <v>227.00200000000001</v>
      </c>
      <c r="D159" s="19">
        <v>0</v>
      </c>
      <c r="E159" s="19">
        <f>E147+E155</f>
        <v>30.095749999999999</v>
      </c>
      <c r="F159" s="22">
        <f>SUM(B159:E159)</f>
        <v>257.09775000000002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2891</v>
      </c>
      <c r="C162" s="27">
        <v>35326</v>
      </c>
      <c r="D162" s="27">
        <v>4111</v>
      </c>
      <c r="E162" s="27">
        <v>25107</v>
      </c>
      <c r="F162" s="27">
        <f>SUM(B162:E162)</f>
        <v>67435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216.93165299999998</v>
      </c>
      <c r="D163" s="27">
        <v>76</v>
      </c>
      <c r="E163" s="27">
        <v>161.54263399999999</v>
      </c>
      <c r="F163" s="11">
        <f>SUM(B163:E163)</f>
        <v>522.333167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911</v>
      </c>
      <c r="C167" s="27">
        <v>6233</v>
      </c>
      <c r="D167" s="27">
        <v>137</v>
      </c>
      <c r="E167" s="27">
        <v>600</v>
      </c>
      <c r="F167" s="27">
        <f>SUM(B167:E167)</f>
        <v>7881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137.85851500000001</v>
      </c>
      <c r="D168" s="27">
        <v>3.43</v>
      </c>
      <c r="E168" s="27">
        <v>20.75</v>
      </c>
      <c r="F168" s="11">
        <f>SUM(B168:E168)</f>
        <v>193.92351500000001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1865</v>
      </c>
      <c r="C171" s="27">
        <v>508</v>
      </c>
      <c r="D171" s="27">
        <v>138</v>
      </c>
      <c r="E171" s="27">
        <v>453</v>
      </c>
      <c r="F171" s="27">
        <f>SUM(B171:E171)</f>
        <v>2964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10.752000000000001</v>
      </c>
      <c r="D172" s="27">
        <v>3.45</v>
      </c>
      <c r="E172" s="27">
        <v>9.9390000000000001</v>
      </c>
      <c r="F172" s="11">
        <f>SUM(B172:E172)</f>
        <v>89.415999999999997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33.26</v>
      </c>
      <c r="D176" s="27">
        <v>7.75</v>
      </c>
      <c r="E176" s="27">
        <v>3.95</v>
      </c>
      <c r="F176" s="11">
        <f>SUM(B176:E176)</f>
        <v>64.86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54">
        <v>384</v>
      </c>
      <c r="C179" s="27">
        <v>181561</v>
      </c>
      <c r="D179" s="27">
        <v>0</v>
      </c>
      <c r="E179" s="27">
        <v>0</v>
      </c>
      <c r="F179" s="27">
        <f>SUM(B179:E179)</f>
        <v>181945</v>
      </c>
    </row>
    <row r="180" spans="1:7" x14ac:dyDescent="0.25">
      <c r="A180" s="14" t="s">
        <v>96</v>
      </c>
      <c r="B180" s="53">
        <f>11770000/1000000</f>
        <v>11.77</v>
      </c>
      <c r="C180" s="27">
        <v>3436.9524714679301</v>
      </c>
      <c r="D180" s="27">
        <v>0</v>
      </c>
      <c r="E180" s="27">
        <v>0</v>
      </c>
      <c r="F180" s="11">
        <f>SUM(B180:E180)</f>
        <v>3448.7224714679301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3352</v>
      </c>
      <c r="C183" s="19">
        <v>188615</v>
      </c>
      <c r="D183" s="19">
        <v>403</v>
      </c>
      <c r="E183" s="19">
        <f>+E179+E175+E171+E167</f>
        <v>1092</v>
      </c>
      <c r="F183" s="19">
        <f>SUM(B183:E183)</f>
        <v>193462</v>
      </c>
    </row>
    <row r="184" spans="1:7" x14ac:dyDescent="0.25">
      <c r="A184" s="18" t="s">
        <v>103</v>
      </c>
      <c r="B184" s="19">
        <f>+B180+B176+B172+B168</f>
        <v>128.83000000000001</v>
      </c>
      <c r="C184" s="19">
        <v>3618.8229864679301</v>
      </c>
      <c r="D184" s="19">
        <v>14.63</v>
      </c>
      <c r="E184" s="19">
        <f>+E180+E176+E172+E168</f>
        <v>34.638999999999996</v>
      </c>
      <c r="F184" s="22">
        <f>SUM(B184:E184)</f>
        <v>3796.9219864679303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4719</v>
      </c>
      <c r="C187" s="27">
        <v>59</v>
      </c>
      <c r="D187" s="27">
        <v>34</v>
      </c>
      <c r="E187" s="27">
        <v>28921</v>
      </c>
      <c r="F187" s="27">
        <f>SUM(B187:E187)</f>
        <v>33733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271.26434199999994</v>
      </c>
      <c r="D188" s="27">
        <v>4.08</v>
      </c>
      <c r="E188" s="27">
        <v>226.29738399999997</v>
      </c>
      <c r="F188" s="11">
        <f>SUM(B188:E188)</f>
        <v>558.98839599999997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10962</v>
      </c>
      <c r="C191" s="44">
        <v>233843</v>
      </c>
      <c r="D191" s="19">
        <v>4548</v>
      </c>
      <c r="E191" s="19">
        <f>E158+E162+E183+E187</f>
        <v>57842</v>
      </c>
      <c r="F191" s="19">
        <f>SUM(B191:E191)</f>
        <v>307195</v>
      </c>
    </row>
    <row r="192" spans="1:7" x14ac:dyDescent="0.25">
      <c r="A192" s="18" t="s">
        <v>109</v>
      </c>
      <c r="B192" s="19">
        <f>B188+B163+B184</f>
        <v>254.03555</v>
      </c>
      <c r="C192" s="44">
        <v>4334.0209814679301</v>
      </c>
      <c r="D192" s="55">
        <v>94.71</v>
      </c>
      <c r="E192" s="19">
        <f>E159+E184+E163+E188</f>
        <v>452.57476799999995</v>
      </c>
      <c r="F192" s="22">
        <f>SUM(B192:E192)</f>
        <v>5135.3412994679293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96"/>
  <sheetViews>
    <sheetView zoomScaleNormal="100" workbookViewId="0">
      <selection activeCell="B67" sqref="B67:B71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27">
        <v>105974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116936</v>
      </c>
    </row>
    <row r="56" spans="1:8" x14ac:dyDescent="0.25">
      <c r="A56" s="14" t="s">
        <v>47</v>
      </c>
      <c r="B56" s="27">
        <v>54259.514990999996</v>
      </c>
      <c r="C56" s="27">
        <v>7719.4234740000002</v>
      </c>
      <c r="D56" s="27">
        <v>1946.698956</v>
      </c>
      <c r="E56" s="27">
        <v>9573</v>
      </c>
      <c r="F56" s="27">
        <f t="shared" si="0"/>
        <v>73498.637420999992</v>
      </c>
    </row>
    <row r="57" spans="1:8" x14ac:dyDescent="0.25">
      <c r="A57" s="14" t="s">
        <v>48</v>
      </c>
      <c r="B57" s="27">
        <v>10.421235397361601</v>
      </c>
      <c r="C57" s="27">
        <v>38</v>
      </c>
      <c r="D57" s="27">
        <v>20.426459719142645</v>
      </c>
      <c r="E57" s="27">
        <v>28</v>
      </c>
      <c r="F57" s="27">
        <f>AVERAGE(B57:E57)</f>
        <v>24.21192377912606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27">
        <v>3859</v>
      </c>
      <c r="C67" s="27">
        <v>1566</v>
      </c>
      <c r="D67" s="27">
        <v>1400</v>
      </c>
      <c r="E67" s="27">
        <v>11665</v>
      </c>
      <c r="F67" s="27">
        <f t="shared" si="0"/>
        <v>18490</v>
      </c>
    </row>
    <row r="68" spans="1:7" x14ac:dyDescent="0.25">
      <c r="A68" s="14" t="s">
        <v>47</v>
      </c>
      <c r="B68" s="27">
        <v>3331.5521309999999</v>
      </c>
      <c r="C68" s="27">
        <v>1563.695778</v>
      </c>
      <c r="D68" s="27">
        <v>1783.829898</v>
      </c>
      <c r="E68" s="27">
        <v>15126</v>
      </c>
      <c r="F68" s="27">
        <f t="shared" si="0"/>
        <v>21805.077807000001</v>
      </c>
    </row>
    <row r="69" spans="1:7" x14ac:dyDescent="0.25">
      <c r="A69" s="14" t="s">
        <v>48</v>
      </c>
      <c r="B69" s="27">
        <v>32.825861622181897</v>
      </c>
      <c r="C69" s="27">
        <v>54</v>
      </c>
      <c r="D69" s="27">
        <v>50.449285714285715</v>
      </c>
      <c r="E69" s="27">
        <v>39</v>
      </c>
      <c r="F69" s="27">
        <f>AVERAGE(B69:E69)</f>
        <v>44.068786834116899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7378</v>
      </c>
      <c r="D146" s="27">
        <v>0</v>
      </c>
      <c r="E146" s="27">
        <v>1910</v>
      </c>
      <c r="F146" s="27">
        <f>SUM(B146:E146)</f>
        <v>9288</v>
      </c>
    </row>
    <row r="147" spans="1:7" x14ac:dyDescent="0.25">
      <c r="A147" s="14" t="s">
        <v>82</v>
      </c>
      <c r="B147" s="27">
        <v>0</v>
      </c>
      <c r="C147" s="27">
        <v>169.80799999999999</v>
      </c>
      <c r="D147" s="27">
        <v>0</v>
      </c>
      <c r="E147" s="27">
        <v>20.647749999999998</v>
      </c>
      <c r="F147" s="11">
        <f>SUM(B147:E147)</f>
        <v>190.45574999999999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14">
        <v>0</v>
      </c>
      <c r="C154" s="27">
        <v>57</v>
      </c>
      <c r="D154" s="35">
        <v>0</v>
      </c>
      <c r="E154" s="34">
        <v>0</v>
      </c>
      <c r="F154" s="27">
        <f>SUM(B154:E154)</f>
        <v>57</v>
      </c>
      <c r="G154"/>
    </row>
    <row r="155" spans="1:7" x14ac:dyDescent="0.25">
      <c r="A155" s="14" t="s">
        <v>88</v>
      </c>
      <c r="B155" s="11">
        <v>0</v>
      </c>
      <c r="C155" s="27">
        <v>0.82</v>
      </c>
      <c r="D155" s="35">
        <v>0</v>
      </c>
      <c r="E155" s="34">
        <v>0</v>
      </c>
      <c r="F155" s="11">
        <f>SUM(B155:E155)</f>
        <v>0.82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19">
        <v>7435</v>
      </c>
      <c r="D158" s="19">
        <v>0</v>
      </c>
      <c r="E158" s="19">
        <f>E146+E154</f>
        <v>1910</v>
      </c>
      <c r="F158" s="19">
        <f>SUM(B158:E158)</f>
        <v>9345</v>
      </c>
    </row>
    <row r="159" spans="1:7" x14ac:dyDescent="0.25">
      <c r="A159" s="18" t="s">
        <v>91</v>
      </c>
      <c r="B159" s="19">
        <v>0</v>
      </c>
      <c r="C159" s="19">
        <v>170.62799999999999</v>
      </c>
      <c r="D159" s="19">
        <v>0</v>
      </c>
      <c r="E159" s="19">
        <f>E147+E155</f>
        <v>20.647749999999998</v>
      </c>
      <c r="F159" s="22">
        <f>SUM(B159:E159)</f>
        <v>191.27574999999999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3357</v>
      </c>
      <c r="C162" s="27">
        <v>40645</v>
      </c>
      <c r="D162" s="27">
        <v>5905</v>
      </c>
      <c r="E162" s="27">
        <v>29313</v>
      </c>
      <c r="F162" s="27">
        <f>SUM(B162:E162)</f>
        <v>79220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235.74725400000003</v>
      </c>
      <c r="D163" s="27">
        <v>92.857073999999997</v>
      </c>
      <c r="E163" s="27">
        <v>195.27461400000001</v>
      </c>
      <c r="F163" s="11">
        <f>SUM(B163:E163)</f>
        <v>602.51393100000007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896</v>
      </c>
      <c r="C167" s="27">
        <v>3594</v>
      </c>
      <c r="D167" s="27">
        <v>88</v>
      </c>
      <c r="E167" s="27">
        <v>649</v>
      </c>
      <c r="F167" s="27">
        <f>SUM(B167:E167)</f>
        <v>5227</v>
      </c>
    </row>
    <row r="168" spans="1:7" x14ac:dyDescent="0.25">
      <c r="A168" s="14" t="s">
        <v>96</v>
      </c>
      <c r="B168" s="27">
        <f>31360000/1000000</f>
        <v>31.36</v>
      </c>
      <c r="C168" s="27">
        <v>87.951739000000003</v>
      </c>
      <c r="D168" s="27">
        <v>3.4</v>
      </c>
      <c r="E168" s="27">
        <v>22.36</v>
      </c>
      <c r="F168" s="11">
        <f>SUM(B168:E168)</f>
        <v>145.07173900000001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2085</v>
      </c>
      <c r="C171" s="27">
        <v>536</v>
      </c>
      <c r="D171" s="27">
        <v>129</v>
      </c>
      <c r="E171" s="27">
        <v>461</v>
      </c>
      <c r="F171" s="27">
        <f>SUM(B171:E171)</f>
        <v>3211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11.445</v>
      </c>
      <c r="D172" s="27">
        <v>3.2</v>
      </c>
      <c r="E172" s="27">
        <v>10.090999999999999</v>
      </c>
      <c r="F172" s="11">
        <f>SUM(B172:E172)</f>
        <v>97.710999999999984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215</v>
      </c>
      <c r="C175" s="27">
        <v>348</v>
      </c>
      <c r="D175" s="27">
        <v>182</v>
      </c>
      <c r="E175" s="27">
        <v>39</v>
      </c>
      <c r="F175" s="27">
        <f>SUM(B175:E175)</f>
        <v>784</v>
      </c>
    </row>
    <row r="176" spans="1:7" x14ac:dyDescent="0.25">
      <c r="A176" s="14" t="s">
        <v>96</v>
      </c>
      <c r="B176" s="27">
        <f>22560000/1000000</f>
        <v>22.56</v>
      </c>
      <c r="C176" s="27">
        <v>37.049999999999997</v>
      </c>
      <c r="D176" s="27">
        <v>10.6</v>
      </c>
      <c r="E176" s="27">
        <v>3.91</v>
      </c>
      <c r="F176" s="11">
        <f>SUM(B176:E176)</f>
        <v>74.11999999999999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27">
        <v>435</v>
      </c>
      <c r="C179" s="27">
        <v>184810</v>
      </c>
      <c r="D179" s="27">
        <v>0</v>
      </c>
      <c r="E179" s="27">
        <v>0</v>
      </c>
      <c r="F179" s="27">
        <f>SUM(B179:E179)</f>
        <v>185245</v>
      </c>
    </row>
    <row r="180" spans="1:7" x14ac:dyDescent="0.25">
      <c r="A180" s="14" t="s">
        <v>96</v>
      </c>
      <c r="B180" s="27">
        <f>17070000/1000000</f>
        <v>17.07</v>
      </c>
      <c r="C180" s="27">
        <v>3612.51590843242</v>
      </c>
      <c r="D180" s="27">
        <v>0</v>
      </c>
      <c r="E180" s="27">
        <v>0</v>
      </c>
      <c r="F180" s="11">
        <f>SUM(B180:E180)</f>
        <v>3629.5859084324202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3631</v>
      </c>
      <c r="C183" s="19">
        <v>189288</v>
      </c>
      <c r="D183" s="19">
        <v>399</v>
      </c>
      <c r="E183" s="19">
        <f>+E179+E175+E171+E167</f>
        <v>1149</v>
      </c>
      <c r="F183" s="19">
        <f>SUM(B183:E183)</f>
        <v>194467</v>
      </c>
    </row>
    <row r="184" spans="1:7" x14ac:dyDescent="0.25">
      <c r="A184" s="18" t="s">
        <v>103</v>
      </c>
      <c r="B184" s="19">
        <f>+B180+B176+B172+B168</f>
        <v>143.96499999999997</v>
      </c>
      <c r="C184" s="19">
        <v>3748.96264743242</v>
      </c>
      <c r="D184" s="19">
        <v>17.2</v>
      </c>
      <c r="E184" s="19">
        <f>+E180+E176+E172+E168</f>
        <v>36.360999999999997</v>
      </c>
      <c r="F184" s="22">
        <f>SUM(B184:E184)</f>
        <v>3946.4886474324198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4955</v>
      </c>
      <c r="C187" s="27">
        <v>2277</v>
      </c>
      <c r="D187" s="27">
        <v>85</v>
      </c>
      <c r="E187" s="27">
        <v>32372</v>
      </c>
      <c r="F187" s="27">
        <f>SUM(B187:E187)</f>
        <v>39689</v>
      </c>
    </row>
    <row r="188" spans="1:7" x14ac:dyDescent="0.25">
      <c r="A188" s="14" t="s">
        <v>106</v>
      </c>
      <c r="B188" s="27">
        <f>52601101/1000000</f>
        <v>52.601101</v>
      </c>
      <c r="C188" s="27">
        <v>148.40891399999998</v>
      </c>
      <c r="D188" s="27">
        <v>3.4</v>
      </c>
      <c r="E188" s="27">
        <v>252.30336399999999</v>
      </c>
      <c r="F188" s="11">
        <f>SUM(B188:E188)</f>
        <v>456.71337899999997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11943</v>
      </c>
      <c r="C191" s="19">
        <v>239645</v>
      </c>
      <c r="D191" s="19">
        <v>6389</v>
      </c>
      <c r="E191" s="19">
        <f>E158+E162+E183+E187</f>
        <v>64744</v>
      </c>
      <c r="F191" s="19">
        <f>SUM(B191:E191)</f>
        <v>322721</v>
      </c>
    </row>
    <row r="192" spans="1:7" x14ac:dyDescent="0.25">
      <c r="A192" s="18" t="s">
        <v>109</v>
      </c>
      <c r="B192" s="19">
        <f>B188+B163+B184</f>
        <v>275.20108999999997</v>
      </c>
      <c r="C192" s="19">
        <v>4303.7468154324197</v>
      </c>
      <c r="D192" s="19">
        <v>113.45707400000001</v>
      </c>
      <c r="E192" s="19">
        <f>E159+E184+E163+E188</f>
        <v>504.58672799999999</v>
      </c>
      <c r="F192" s="22">
        <f>SUM(B192:E192)</f>
        <v>5196.9917074324194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196"/>
  <sheetViews>
    <sheetView zoomScaleNormal="100" workbookViewId="0">
      <selection activeCell="E13" sqref="E13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27">
        <v>104274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114718</v>
      </c>
    </row>
    <row r="56" spans="1:8" x14ac:dyDescent="0.25">
      <c r="A56" s="14" t="s">
        <v>47</v>
      </c>
      <c r="B56" s="27">
        <v>54396.499575000002</v>
      </c>
      <c r="C56" s="27">
        <v>7069.5792759999804</v>
      </c>
      <c r="D56" s="27">
        <v>1938.738699</v>
      </c>
      <c r="E56" s="27">
        <v>9362</v>
      </c>
      <c r="F56" s="27">
        <f t="shared" si="0"/>
        <v>72766.817549999978</v>
      </c>
    </row>
    <row r="57" spans="1:8" x14ac:dyDescent="0.25">
      <c r="A57" s="14" t="s">
        <v>48</v>
      </c>
      <c r="B57" s="27">
        <v>10.523537542957</v>
      </c>
      <c r="C57" s="27">
        <v>38</v>
      </c>
      <c r="D57" s="27">
        <v>21.198127925117003</v>
      </c>
      <c r="E57" s="27">
        <v>27</v>
      </c>
      <c r="F57" s="27">
        <f>AVERAGE(B57:E57)</f>
        <v>24.180416367018502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27">
        <v>3291</v>
      </c>
      <c r="C67" s="27">
        <v>1463</v>
      </c>
      <c r="D67" s="27">
        <v>1482</v>
      </c>
      <c r="E67" s="27">
        <v>9794</v>
      </c>
      <c r="F67" s="27">
        <f t="shared" si="0"/>
        <v>16030</v>
      </c>
    </row>
    <row r="68" spans="1:7" x14ac:dyDescent="0.25">
      <c r="A68" s="14" t="s">
        <v>47</v>
      </c>
      <c r="B68" s="27">
        <v>2796.0224600000001</v>
      </c>
      <c r="C68" s="27">
        <v>1619.635125</v>
      </c>
      <c r="D68" s="27">
        <v>1731.2255090000001</v>
      </c>
      <c r="E68" s="27">
        <v>12269</v>
      </c>
      <c r="F68" s="27">
        <f t="shared" si="0"/>
        <v>18415.883094000001</v>
      </c>
    </row>
    <row r="69" spans="1:7" x14ac:dyDescent="0.25">
      <c r="A69" s="14" t="s">
        <v>48</v>
      </c>
      <c r="B69" s="27">
        <v>33.031163221227999</v>
      </c>
      <c r="C69" s="27">
        <v>54</v>
      </c>
      <c r="D69" s="27">
        <v>50.521592442645073</v>
      </c>
      <c r="E69" s="27">
        <v>38</v>
      </c>
      <c r="F69" s="27">
        <f>AVERAGE(B69:E69)</f>
        <v>43.888188915968271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f>+B55+B67</f>
        <v>107565</v>
      </c>
      <c r="C73" s="19">
        <v>6413</v>
      </c>
      <c r="D73" s="19">
        <v>2764</v>
      </c>
      <c r="E73" s="19">
        <v>14006</v>
      </c>
      <c r="F73" s="19">
        <f>SUM(B73:E73)</f>
        <v>130748</v>
      </c>
    </row>
    <row r="74" spans="1:7" x14ac:dyDescent="0.25">
      <c r="A74" s="18" t="s">
        <v>47</v>
      </c>
      <c r="B74" s="19">
        <f>+B56+B68</f>
        <v>57192.522035000002</v>
      </c>
      <c r="C74" s="19">
        <v>8689.2144009999811</v>
      </c>
      <c r="D74" s="19">
        <v>3669.9642080000003</v>
      </c>
      <c r="E74" s="19">
        <v>21631</v>
      </c>
      <c r="F74" s="22">
        <f>SUM(B74:E74)</f>
        <v>91182.700643999982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2842</v>
      </c>
      <c r="D146" s="27"/>
      <c r="E146" s="27">
        <v>1388</v>
      </c>
      <c r="F146" s="27">
        <f>SUM(B146:E146)</f>
        <v>4230</v>
      </c>
    </row>
    <row r="147" spans="1:7" x14ac:dyDescent="0.25">
      <c r="A147" s="14" t="s">
        <v>82</v>
      </c>
      <c r="B147" s="27">
        <v>0</v>
      </c>
      <c r="C147" s="27">
        <v>64.81</v>
      </c>
      <c r="D147" s="27"/>
      <c r="E147" s="27">
        <v>14.6485</v>
      </c>
      <c r="F147" s="11">
        <f>SUM(B147:E147)</f>
        <v>79.458500000000001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27">
        <v>0</v>
      </c>
      <c r="C154" s="27">
        <v>68</v>
      </c>
      <c r="D154" s="27">
        <v>7599</v>
      </c>
      <c r="E154" s="27">
        <v>0</v>
      </c>
      <c r="F154" s="27">
        <f>SUM(B154:E154)</f>
        <v>7667</v>
      </c>
      <c r="G154"/>
    </row>
    <row r="155" spans="1:7" x14ac:dyDescent="0.25">
      <c r="A155" s="14" t="s">
        <v>88</v>
      </c>
      <c r="B155" s="27">
        <v>0</v>
      </c>
      <c r="C155" s="27">
        <v>0.88</v>
      </c>
      <c r="D155" s="27">
        <v>175.35300000000001</v>
      </c>
      <c r="E155" s="27">
        <v>0</v>
      </c>
      <c r="F155" s="11">
        <f>SUM(B155:E155)</f>
        <v>176.233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19">
        <v>2910</v>
      </c>
      <c r="D158" s="19">
        <v>7599</v>
      </c>
      <c r="E158" s="19">
        <f>E146+E154</f>
        <v>1388</v>
      </c>
      <c r="F158" s="19">
        <f>SUM(B158:E158)</f>
        <v>11897</v>
      </c>
    </row>
    <row r="159" spans="1:7" x14ac:dyDescent="0.25">
      <c r="A159" s="18" t="s">
        <v>91</v>
      </c>
      <c r="B159" s="19">
        <v>0</v>
      </c>
      <c r="C159" s="19">
        <v>65.69</v>
      </c>
      <c r="D159" s="19">
        <v>175.35300000000001</v>
      </c>
      <c r="E159" s="19">
        <f>E147+E155</f>
        <v>14.6485</v>
      </c>
      <c r="F159" s="22">
        <f>SUM(B159:E159)</f>
        <v>255.69150000000002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2815</v>
      </c>
      <c r="C162" s="27">
        <v>36066</v>
      </c>
      <c r="D162" s="27">
        <v>5804</v>
      </c>
      <c r="E162" s="27">
        <v>28061</v>
      </c>
      <c r="F162" s="27">
        <f>SUM(B162:E162)</f>
        <v>72746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251.08276699999999</v>
      </c>
      <c r="D163" s="27">
        <v>90.116249999999994</v>
      </c>
      <c r="E163" s="27">
        <v>189.93645900000001</v>
      </c>
      <c r="F163" s="11">
        <f>SUM(B163:E163)</f>
        <v>597.49209399999995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711</v>
      </c>
      <c r="C167" s="27">
        <v>4617</v>
      </c>
      <c r="D167" s="27">
        <v>91</v>
      </c>
      <c r="E167" s="27">
        <v>549</v>
      </c>
      <c r="F167" s="27">
        <f>SUM(B167:E167)</f>
        <v>5968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104.100621</v>
      </c>
      <c r="D168" s="27">
        <v>3</v>
      </c>
      <c r="E168" s="27">
        <v>19.344999999999999</v>
      </c>
      <c r="F168" s="11">
        <f>SUM(B168:E168)</f>
        <v>151.33062100000001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1907</v>
      </c>
      <c r="C171" s="27">
        <v>495</v>
      </c>
      <c r="D171" s="27">
        <v>94</v>
      </c>
      <c r="E171" s="27">
        <v>381</v>
      </c>
      <c r="F171" s="27">
        <f>SUM(B171:E171)</f>
        <v>2877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10.436999999999999</v>
      </c>
      <c r="D172" s="27">
        <v>2.4</v>
      </c>
      <c r="E172" s="27">
        <v>8.2949999999999999</v>
      </c>
      <c r="F172" s="11">
        <f>SUM(B172:E172)</f>
        <v>87.87700000000001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205</v>
      </c>
      <c r="C175" s="27">
        <v>378</v>
      </c>
      <c r="D175" s="27">
        <v>180</v>
      </c>
      <c r="E175" s="27">
        <v>54</v>
      </c>
      <c r="F175" s="27">
        <f>SUM(B175:E175)</f>
        <v>817</v>
      </c>
    </row>
    <row r="176" spans="1:7" x14ac:dyDescent="0.25">
      <c r="A176" s="14" t="s">
        <v>96</v>
      </c>
      <c r="B176" s="27">
        <f>21580000/1000000</f>
        <v>21.58</v>
      </c>
      <c r="C176" s="27">
        <v>44.3</v>
      </c>
      <c r="D176" s="27">
        <v>10.35</v>
      </c>
      <c r="E176" s="27">
        <v>5.26</v>
      </c>
      <c r="F176" s="11">
        <f>SUM(B176:E176)</f>
        <v>81.489999999999995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27">
        <v>311</v>
      </c>
      <c r="C179" s="27">
        <v>219585</v>
      </c>
      <c r="D179" s="27">
        <v>0</v>
      </c>
      <c r="E179" s="27">
        <v>0</v>
      </c>
      <c r="F179" s="27">
        <f>SUM(B179:E179)</f>
        <v>219896</v>
      </c>
    </row>
    <row r="180" spans="1:7" x14ac:dyDescent="0.25">
      <c r="A180" s="14" t="s">
        <v>96</v>
      </c>
      <c r="B180" s="27">
        <f>12680000/1000000</f>
        <v>12.68</v>
      </c>
      <c r="C180" s="27">
        <v>3600.6110270038002</v>
      </c>
      <c r="D180" s="27">
        <v>0</v>
      </c>
      <c r="E180" s="27">
        <v>0</v>
      </c>
      <c r="F180" s="11">
        <f>SUM(B180:E180)</f>
        <v>3613.2910270038001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3134</v>
      </c>
      <c r="C183" s="19">
        <v>225075</v>
      </c>
      <c r="D183" s="19">
        <v>365</v>
      </c>
      <c r="E183" s="19">
        <f>+E179+E175+E171+E167</f>
        <v>984</v>
      </c>
      <c r="F183" s="19">
        <f>SUM(B183:E183)</f>
        <v>229558</v>
      </c>
    </row>
    <row r="184" spans="1:7" x14ac:dyDescent="0.25">
      <c r="A184" s="18" t="s">
        <v>103</v>
      </c>
      <c r="B184" s="19">
        <f>+B180+B176+B172+B168</f>
        <v>125.89</v>
      </c>
      <c r="C184" s="19">
        <v>3759.4486480038004</v>
      </c>
      <c r="D184" s="19">
        <v>15.75</v>
      </c>
      <c r="E184" s="19">
        <f>+E180+E176+E172+E168</f>
        <v>32.9</v>
      </c>
      <c r="F184" s="22">
        <f>SUM(B184:E184)</f>
        <v>3933.9886480038003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3574</v>
      </c>
      <c r="C187" s="27">
        <v>3997</v>
      </c>
      <c r="D187" s="27">
        <v>75</v>
      </c>
      <c r="E187" s="27">
        <f>E162+E167+E171+E175+E158</f>
        <v>30433</v>
      </c>
      <c r="F187" s="27">
        <f>SUM(B187:E187)</f>
        <v>38079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259.07761600000003</v>
      </c>
      <c r="D188" s="27">
        <v>2.96</v>
      </c>
      <c r="E188" s="27">
        <f>E163+E168+E172+E176+E159</f>
        <v>237.484959</v>
      </c>
      <c r="F188" s="11">
        <f>SUM(B188:E188)</f>
        <v>532.996757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9523</v>
      </c>
      <c r="C191" s="19">
        <v>268048</v>
      </c>
      <c r="D191" s="19">
        <v>13843</v>
      </c>
      <c r="E191" s="19">
        <f>E158+E162+E183+E187</f>
        <v>60866</v>
      </c>
      <c r="F191" s="19">
        <f>SUM(B191:E191)</f>
        <v>352280</v>
      </c>
    </row>
    <row r="192" spans="1:7" x14ac:dyDescent="0.25">
      <c r="A192" s="18" t="s">
        <v>109</v>
      </c>
      <c r="B192" s="19">
        <f>B188+B163+B184</f>
        <v>225.7208</v>
      </c>
      <c r="C192" s="19">
        <v>4335.2990310038003</v>
      </c>
      <c r="D192" s="19">
        <v>284.17925000000002</v>
      </c>
      <c r="E192" s="19">
        <f>E159+E184+E163+E188</f>
        <v>474.96991800000001</v>
      </c>
      <c r="F192" s="22">
        <f>SUM(B192:E192)</f>
        <v>5320.1689990038003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96"/>
  <sheetViews>
    <sheetView zoomScaleNormal="100" workbookViewId="0">
      <selection activeCell="G59" sqref="G59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91759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102061</v>
      </c>
    </row>
    <row r="56" spans="2:9" x14ac:dyDescent="0.25">
      <c r="B56" s="14" t="s">
        <v>47</v>
      </c>
      <c r="C56" s="27">
        <v>52567.946404000002</v>
      </c>
      <c r="D56" s="27">
        <v>6958.7942799999701</v>
      </c>
      <c r="E56" s="27">
        <v>1939.603552</v>
      </c>
      <c r="F56" s="27">
        <v>9535</v>
      </c>
      <c r="G56" s="27">
        <f t="shared" si="0"/>
        <v>71001.344235999975</v>
      </c>
    </row>
    <row r="57" spans="2:9" x14ac:dyDescent="0.25">
      <c r="B57" s="14" t="s">
        <v>48</v>
      </c>
      <c r="C57" s="27">
        <v>11.4631371309626</v>
      </c>
      <c r="D57" s="27">
        <v>38</v>
      </c>
      <c r="E57" s="27">
        <v>20.976101568334578</v>
      </c>
      <c r="F57" s="27">
        <v>29</v>
      </c>
      <c r="G57" s="27">
        <f>AVERAGE(C57:F57)</f>
        <v>24.859809674824294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3209</v>
      </c>
      <c r="D67" s="27">
        <v>1504</v>
      </c>
      <c r="E67" s="27">
        <v>1667</v>
      </c>
      <c r="F67" s="27">
        <v>9883</v>
      </c>
      <c r="G67" s="27">
        <f t="shared" si="0"/>
        <v>16263</v>
      </c>
    </row>
    <row r="68" spans="2:8" x14ac:dyDescent="0.25">
      <c r="B68" s="14" t="s">
        <v>47</v>
      </c>
      <c r="C68" s="27">
        <v>2876.6195290000001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19807.028329000001</v>
      </c>
    </row>
    <row r="69" spans="2:8" x14ac:dyDescent="0.25">
      <c r="B69" s="14" t="s">
        <v>48</v>
      </c>
      <c r="C69" s="27">
        <v>33.543783110003098</v>
      </c>
      <c r="D69" s="27">
        <v>55</v>
      </c>
      <c r="E69" s="27">
        <v>50.941211757648468</v>
      </c>
      <c r="F69" s="27">
        <v>38</v>
      </c>
      <c r="G69" s="27">
        <f>AVERAGE(C69:F69)</f>
        <v>44.371248716912888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94968</v>
      </c>
      <c r="D73" s="19">
        <v>6500</v>
      </c>
      <c r="E73" s="19">
        <v>3006</v>
      </c>
      <c r="F73" s="19">
        <v>13850</v>
      </c>
      <c r="G73" s="19">
        <f>SUM(C73:F73)</f>
        <v>118324</v>
      </c>
    </row>
    <row r="74" spans="2:8" x14ac:dyDescent="0.25">
      <c r="B74" s="18" t="s">
        <v>47</v>
      </c>
      <c r="C74" s="19">
        <f>+C56+C68</f>
        <v>55444.565933000005</v>
      </c>
      <c r="D74" s="19">
        <v>8692.5974599999699</v>
      </c>
      <c r="E74" s="19">
        <v>4270.2091719999999</v>
      </c>
      <c r="F74" s="19">
        <v>22401</v>
      </c>
      <c r="G74" s="22">
        <f>SUM(C74:F74)</f>
        <v>90808.372564999969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1460</v>
      </c>
      <c r="E146" s="27"/>
      <c r="F146" s="27">
        <v>1080</v>
      </c>
      <c r="G146" s="27">
        <f>SUM(C146:F146)</f>
        <v>2540</v>
      </c>
    </row>
    <row r="147" spans="2:8" x14ac:dyDescent="0.25">
      <c r="B147" s="14" t="s">
        <v>82</v>
      </c>
      <c r="C147" s="27">
        <v>0</v>
      </c>
      <c r="D147" s="27">
        <v>32.024000000000001</v>
      </c>
      <c r="E147" s="27"/>
      <c r="F147" s="27">
        <v>11.694000000000001</v>
      </c>
      <c r="G147" s="11">
        <f>SUM(C147:F147)</f>
        <v>43.718000000000004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223</v>
      </c>
      <c r="E154" s="27">
        <v>0</v>
      </c>
      <c r="F154" s="27">
        <v>0</v>
      </c>
      <c r="G154" s="27">
        <f>SUM(C154:F154)</f>
        <v>223</v>
      </c>
      <c r="H154"/>
    </row>
    <row r="155" spans="2:8" x14ac:dyDescent="0.25">
      <c r="B155" s="14" t="s">
        <v>88</v>
      </c>
      <c r="C155" s="27">
        <v>0</v>
      </c>
      <c r="D155" s="27">
        <v>2.86</v>
      </c>
      <c r="E155" s="27">
        <v>0</v>
      </c>
      <c r="F155" s="27">
        <v>0</v>
      </c>
      <c r="G155" s="11">
        <f>SUM(C155:F155)</f>
        <v>2.86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1683</v>
      </c>
      <c r="E158" s="19">
        <v>0</v>
      </c>
      <c r="F158" s="19">
        <f>+F146+F154</f>
        <v>1080</v>
      </c>
      <c r="G158" s="19">
        <f>SUM(C158:F158)</f>
        <v>2763</v>
      </c>
    </row>
    <row r="159" spans="2:8" x14ac:dyDescent="0.25">
      <c r="B159" s="18" t="s">
        <v>91</v>
      </c>
      <c r="C159" s="19">
        <v>0</v>
      </c>
      <c r="D159" s="19">
        <v>34.884</v>
      </c>
      <c r="E159" s="19">
        <v>0</v>
      </c>
      <c r="F159" s="19">
        <f>+F147+F155</f>
        <v>11.694000000000001</v>
      </c>
      <c r="G159" s="22">
        <f>SUM(C159:F159)</f>
        <v>46.578000000000003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2484</v>
      </c>
      <c r="D162" s="27">
        <v>42651</v>
      </c>
      <c r="E162" s="27">
        <v>5318</v>
      </c>
      <c r="F162" s="27">
        <v>25370</v>
      </c>
      <c r="G162" s="27">
        <f>SUM(C162:F162)</f>
        <v>75823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224.88683099999997</v>
      </c>
      <c r="E163" s="27">
        <v>83.471367000000001</v>
      </c>
      <c r="F163" s="27">
        <v>161.55137500000001</v>
      </c>
      <c r="G163" s="11">
        <f>SUM(C163:F163)</f>
        <v>529.07308699999999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751</v>
      </c>
      <c r="D167" s="27">
        <v>3068</v>
      </c>
      <c r="E167" s="27">
        <v>80</v>
      </c>
      <c r="F167" s="27">
        <v>468</v>
      </c>
      <c r="G167" s="27">
        <f>SUM(C167:F167)</f>
        <v>4367</v>
      </c>
    </row>
    <row r="168" spans="2:8" x14ac:dyDescent="0.25">
      <c r="B168" s="14" t="s">
        <v>96</v>
      </c>
      <c r="C168" s="27">
        <f>26285000/1000000</f>
        <v>26.285</v>
      </c>
      <c r="D168" s="27">
        <v>70.86038400000001</v>
      </c>
      <c r="E168" s="27">
        <v>2.6</v>
      </c>
      <c r="F168" s="27">
        <v>17</v>
      </c>
      <c r="G168" s="11">
        <f>SUM(C168:F168)</f>
        <v>116.745384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1692</v>
      </c>
      <c r="D171" s="27">
        <v>437</v>
      </c>
      <c r="E171" s="27">
        <v>110</v>
      </c>
      <c r="F171" s="27">
        <v>332</v>
      </c>
      <c r="G171" s="27">
        <f>SUM(C171:F171)</f>
        <v>2571</v>
      </c>
    </row>
    <row r="172" spans="2:8" x14ac:dyDescent="0.25">
      <c r="B172" s="14" t="s">
        <v>96</v>
      </c>
      <c r="C172" s="27">
        <f>59220000/1000000</f>
        <v>59.22</v>
      </c>
      <c r="D172" s="27">
        <v>9.1769999999999996</v>
      </c>
      <c r="E172" s="27">
        <v>2.8</v>
      </c>
      <c r="F172" s="27">
        <v>7.298</v>
      </c>
      <c r="G172" s="11">
        <f>SUM(C172:F172)</f>
        <v>78.49499999999999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190</v>
      </c>
      <c r="D175" s="27">
        <v>327</v>
      </c>
      <c r="E175" s="27">
        <v>169</v>
      </c>
      <c r="F175" s="27">
        <v>35</v>
      </c>
      <c r="G175" s="27">
        <f>SUM(C175:F175)</f>
        <v>721</v>
      </c>
    </row>
    <row r="176" spans="2:8" x14ac:dyDescent="0.25">
      <c r="B176" s="14" t="s">
        <v>96</v>
      </c>
      <c r="C176" s="27">
        <f>19840000/1000000</f>
        <v>19.84</v>
      </c>
      <c r="D176" s="27">
        <v>34.51</v>
      </c>
      <c r="E176" s="27">
        <v>9.74</v>
      </c>
      <c r="F176" s="27">
        <v>3.51</v>
      </c>
      <c r="G176" s="11">
        <f>SUM(C176:F176)</f>
        <v>67.599999999999994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261</v>
      </c>
      <c r="D179" s="27">
        <v>241055</v>
      </c>
      <c r="E179" s="27">
        <v>0</v>
      </c>
      <c r="F179" s="27">
        <v>0</v>
      </c>
      <c r="G179" s="27">
        <f>SUM(C179:F179)</f>
        <v>241316</v>
      </c>
    </row>
    <row r="180" spans="2:8" x14ac:dyDescent="0.25">
      <c r="B180" s="14" t="s">
        <v>96</v>
      </c>
      <c r="C180" s="27">
        <f>10625000/1000000</f>
        <v>10.625</v>
      </c>
      <c r="D180" s="27">
        <v>3586.03212544703</v>
      </c>
      <c r="E180" s="27">
        <v>0</v>
      </c>
      <c r="F180" s="27">
        <v>0</v>
      </c>
      <c r="G180" s="11">
        <f>SUM(C180:F180)</f>
        <v>3596.65712544703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2894</v>
      </c>
      <c r="D183" s="19">
        <v>244887</v>
      </c>
      <c r="E183" s="19">
        <v>359</v>
      </c>
      <c r="F183" s="19">
        <f>+F179+F175+F171+F167</f>
        <v>835</v>
      </c>
      <c r="G183" s="19">
        <f>SUM(C183:F183)</f>
        <v>248975</v>
      </c>
    </row>
    <row r="184" spans="2:8" x14ac:dyDescent="0.25">
      <c r="B184" s="18" t="s">
        <v>103</v>
      </c>
      <c r="C184" s="19">
        <f>+C180+C176+C172+C168</f>
        <v>115.97</v>
      </c>
      <c r="D184" s="19">
        <v>3700.57950944703</v>
      </c>
      <c r="E184" s="19">
        <v>15.14</v>
      </c>
      <c r="F184" s="19">
        <f>+F180+F176+F172+F168</f>
        <v>27.808</v>
      </c>
      <c r="G184" s="22">
        <f>SUM(C184:F184)</f>
        <v>3859.4975094470296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2834</v>
      </c>
      <c r="D187" s="27">
        <v>4278</v>
      </c>
      <c r="E187" s="27">
        <v>65</v>
      </c>
      <c r="F187" s="27">
        <v>27285</v>
      </c>
      <c r="G187" s="27">
        <f>SUM(C187:F187)</f>
        <v>34462</v>
      </c>
    </row>
    <row r="188" spans="2:8" x14ac:dyDescent="0.25">
      <c r="B188" s="14" t="s">
        <v>106</v>
      </c>
      <c r="C188" s="27">
        <f>26489348/1000000</f>
        <v>26.489348</v>
      </c>
      <c r="D188" s="27">
        <v>231.704836</v>
      </c>
      <c r="E188" s="27">
        <v>2.6</v>
      </c>
      <c r="F188" s="27">
        <v>201.073375</v>
      </c>
      <c r="G188" s="11">
        <f>SUM(C188:F188)</f>
        <v>461.86755900000003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8212</v>
      </c>
      <c r="D191" s="19">
        <v>293499</v>
      </c>
      <c r="E191" s="19">
        <v>5742</v>
      </c>
      <c r="F191" s="19">
        <f>F158+F162+F183+F187</f>
        <v>54570</v>
      </c>
      <c r="G191" s="19">
        <f>SUM(C191:F191)</f>
        <v>362023</v>
      </c>
    </row>
    <row r="192" spans="2:8" x14ac:dyDescent="0.25">
      <c r="B192" s="18" t="s">
        <v>109</v>
      </c>
      <c r="C192" s="19">
        <f>C188+C163+C184</f>
        <v>201.622862</v>
      </c>
      <c r="D192" s="19">
        <v>4192.0551764470301</v>
      </c>
      <c r="E192" s="19">
        <v>101.211367</v>
      </c>
      <c r="F192" s="19">
        <f>F159+F184+F163+F188</f>
        <v>402.12675000000002</v>
      </c>
      <c r="G192" s="22">
        <f>SUM(C192:F192)</f>
        <v>4897.0161554470305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196"/>
  <sheetViews>
    <sheetView zoomScaleNormal="100" workbookViewId="0">
      <selection activeCell="G70" sqref="G70"/>
    </sheetView>
  </sheetViews>
  <sheetFormatPr baseColWidth="10" defaultColWidth="9.140625" defaultRowHeight="15" x14ac:dyDescent="0.25"/>
  <cols>
    <col min="1" max="1" width="5.285156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102859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114676</v>
      </c>
    </row>
    <row r="56" spans="2:9" x14ac:dyDescent="0.25">
      <c r="B56" s="14" t="s">
        <v>47</v>
      </c>
      <c r="C56" s="27">
        <v>61792.480561999997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82965.437678999951</v>
      </c>
    </row>
    <row r="57" spans="2:9" x14ac:dyDescent="0.25">
      <c r="B57" s="14" t="s">
        <v>48</v>
      </c>
      <c r="C57" s="27">
        <v>11.690450033541101</v>
      </c>
      <c r="D57" s="27">
        <v>39</v>
      </c>
      <c r="E57" s="27">
        <v>20.917256011315416</v>
      </c>
      <c r="F57" s="27">
        <v>29</v>
      </c>
      <c r="G57" s="27">
        <f>AVERAGE(C57:F57)</f>
        <v>25.151926511214128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4244</v>
      </c>
      <c r="D67" s="27">
        <v>2003</v>
      </c>
      <c r="E67" s="27">
        <v>1938</v>
      </c>
      <c r="F67" s="27">
        <v>11904</v>
      </c>
      <c r="G67" s="27">
        <f t="shared" si="0"/>
        <v>20089</v>
      </c>
    </row>
    <row r="68" spans="2:8" x14ac:dyDescent="0.25">
      <c r="B68" s="14" t="s">
        <v>47</v>
      </c>
      <c r="C68" s="27">
        <v>3650.6534630000001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22420.574112000002</v>
      </c>
    </row>
    <row r="69" spans="2:8" x14ac:dyDescent="0.25">
      <c r="B69" s="14" t="s">
        <v>48</v>
      </c>
      <c r="C69" s="27">
        <v>33.278275212064102</v>
      </c>
      <c r="D69" s="27">
        <v>55</v>
      </c>
      <c r="E69" s="27">
        <v>50.275025799793603</v>
      </c>
      <c r="F69" s="27">
        <v>38</v>
      </c>
      <c r="G69" s="27">
        <f>AVERAGE(C69:F69)</f>
        <v>44.138325252964428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107103</v>
      </c>
      <c r="D73" s="19">
        <v>7512</v>
      </c>
      <c r="E73" s="19">
        <v>3352</v>
      </c>
      <c r="F73" s="19">
        <v>16798</v>
      </c>
      <c r="G73" s="19">
        <f>SUM(C73:F73)</f>
        <v>134765</v>
      </c>
    </row>
    <row r="74" spans="2:8" x14ac:dyDescent="0.25">
      <c r="B74" s="18" t="s">
        <v>47</v>
      </c>
      <c r="C74" s="19">
        <f>+C56+C68</f>
        <v>65443.134024999999</v>
      </c>
      <c r="D74" s="19">
        <v>9169.9541889999491</v>
      </c>
      <c r="E74" s="19">
        <v>4361.9235769999996</v>
      </c>
      <c r="F74" s="19">
        <v>26411</v>
      </c>
      <c r="G74" s="22">
        <f>SUM(C74:F74)</f>
        <v>105386.01179099994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59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1325</v>
      </c>
      <c r="E146" s="27">
        <v>0</v>
      </c>
      <c r="F146" s="1">
        <v>863</v>
      </c>
      <c r="G146" s="27">
        <f>SUM(C146:F146)</f>
        <v>2188</v>
      </c>
    </row>
    <row r="147" spans="2:8" x14ac:dyDescent="0.25">
      <c r="B147" s="14" t="s">
        <v>82</v>
      </c>
      <c r="C147" s="27">
        <v>0</v>
      </c>
      <c r="D147" s="27">
        <v>29.062000000000001</v>
      </c>
      <c r="E147" s="27">
        <v>0</v>
      </c>
      <c r="F147" s="29">
        <v>9.5444999999999993</v>
      </c>
      <c r="G147" s="11">
        <f>SUM(C147:F147)</f>
        <v>38.606499999999997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12982</v>
      </c>
      <c r="E150" s="27">
        <v>0</v>
      </c>
      <c r="F150" s="27">
        <v>0</v>
      </c>
      <c r="G150" s="27">
        <f>SUM(C150:F150)</f>
        <v>12982</v>
      </c>
      <c r="H150"/>
    </row>
    <row r="151" spans="2:8" x14ac:dyDescent="0.25">
      <c r="B151" s="14" t="s">
        <v>85</v>
      </c>
      <c r="C151" s="27">
        <v>0</v>
      </c>
      <c r="D151" s="36">
        <v>517.63</v>
      </c>
      <c r="E151" s="27">
        <v>0</v>
      </c>
      <c r="F151" s="27">
        <v>0</v>
      </c>
      <c r="G151" s="11">
        <f>SUM(C151:F151)</f>
        <v>517.63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272</v>
      </c>
      <c r="E154" s="27">
        <v>21</v>
      </c>
      <c r="F154" s="27">
        <v>0</v>
      </c>
      <c r="G154" s="27">
        <f>SUM(C154:F154)</f>
        <v>293</v>
      </c>
      <c r="H154"/>
    </row>
    <row r="155" spans="2:8" x14ac:dyDescent="0.25">
      <c r="B155" s="14" t="s">
        <v>88</v>
      </c>
      <c r="C155" s="27">
        <v>0</v>
      </c>
      <c r="D155" s="27">
        <v>3.5</v>
      </c>
      <c r="E155" s="27">
        <v>1</v>
      </c>
      <c r="F155" s="27">
        <v>0</v>
      </c>
      <c r="G155" s="11">
        <f>SUM(C155:F155)</f>
        <v>4.5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14579</v>
      </c>
      <c r="E158" s="19">
        <v>21</v>
      </c>
      <c r="F158" s="19">
        <f>F146+F154</f>
        <v>863</v>
      </c>
      <c r="G158" s="19">
        <f>SUM(C158:F158)</f>
        <v>15463</v>
      </c>
    </row>
    <row r="159" spans="2:8" x14ac:dyDescent="0.25">
      <c r="B159" s="18" t="s">
        <v>91</v>
      </c>
      <c r="C159" s="19">
        <v>0</v>
      </c>
      <c r="D159" s="19">
        <v>550.19200000000001</v>
      </c>
      <c r="E159" s="19">
        <v>1</v>
      </c>
      <c r="F159" s="19">
        <f>F147+F155</f>
        <v>9.5444999999999993</v>
      </c>
      <c r="G159" s="22">
        <f>SUM(C159:F159)</f>
        <v>560.73649999999998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3268</v>
      </c>
      <c r="D162" s="27">
        <v>54174</v>
      </c>
      <c r="E162" s="27">
        <v>6762</v>
      </c>
      <c r="F162" s="27">
        <v>32177</v>
      </c>
      <c r="G162" s="27">
        <f>SUM(C162:F162)</f>
        <v>96381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234.33272200000002</v>
      </c>
      <c r="E163" s="27">
        <v>110.2</v>
      </c>
      <c r="F163" s="27">
        <v>206.08831900000001</v>
      </c>
      <c r="G163" s="11">
        <f>SUM(C163:F163)</f>
        <v>627.50081900000009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896</v>
      </c>
      <c r="D167" s="27">
        <v>3504</v>
      </c>
      <c r="E167" s="27">
        <v>88</v>
      </c>
      <c r="F167" s="27">
        <v>569</v>
      </c>
      <c r="G167" s="27">
        <f>SUM(C167:F167)</f>
        <v>5057</v>
      </c>
    </row>
    <row r="168" spans="2:8" x14ac:dyDescent="0.25">
      <c r="B168" s="14" t="s">
        <v>96</v>
      </c>
      <c r="C168" s="27">
        <f>31360000/1000000</f>
        <v>31.36</v>
      </c>
      <c r="D168" s="27">
        <v>79.051487999999992</v>
      </c>
      <c r="E168" s="27">
        <v>3.4</v>
      </c>
      <c r="F168" s="27">
        <v>20.14</v>
      </c>
      <c r="G168" s="11">
        <f>SUM(C168:F168)</f>
        <v>133.95148799999998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2191</v>
      </c>
      <c r="D171" s="27">
        <v>461</v>
      </c>
      <c r="E171" s="27">
        <v>116</v>
      </c>
      <c r="F171" s="27">
        <v>420</v>
      </c>
      <c r="G171" s="27">
        <f>SUM(C171:F171)</f>
        <v>3188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9.6809999999999992</v>
      </c>
      <c r="E172" s="27">
        <v>2.9</v>
      </c>
      <c r="F172" s="27">
        <v>9.23</v>
      </c>
      <c r="G172" s="11">
        <f>SUM(C172:F172)</f>
        <v>98.496000000000009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276</v>
      </c>
      <c r="D175" s="27">
        <v>443</v>
      </c>
      <c r="E175" s="27">
        <v>245</v>
      </c>
      <c r="F175" s="27">
        <v>41</v>
      </c>
      <c r="G175" s="27">
        <f>SUM(C175:F175)</f>
        <v>1005</v>
      </c>
    </row>
    <row r="176" spans="2:8" x14ac:dyDescent="0.25">
      <c r="B176" s="14" t="s">
        <v>96</v>
      </c>
      <c r="C176" s="27">
        <f>29000000/1000000</f>
        <v>29</v>
      </c>
      <c r="D176" s="27">
        <v>46.77</v>
      </c>
      <c r="E176" s="27">
        <v>13.8</v>
      </c>
      <c r="F176" s="27">
        <v>4.03</v>
      </c>
      <c r="G176" s="11">
        <f>SUM(C176:F176)</f>
        <v>93.600000000000009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301</v>
      </c>
      <c r="D179" s="27">
        <v>248132</v>
      </c>
      <c r="E179" s="27">
        <v>0</v>
      </c>
      <c r="F179" s="27">
        <v>0</v>
      </c>
      <c r="G179" s="27">
        <f>SUM(C179:F179)</f>
        <v>248433</v>
      </c>
    </row>
    <row r="180" spans="2:8" x14ac:dyDescent="0.25">
      <c r="B180" s="14" t="s">
        <v>96</v>
      </c>
      <c r="C180" s="27">
        <f>12275000/1000000</f>
        <v>12.275</v>
      </c>
      <c r="D180" s="27">
        <v>4287.4262658710104</v>
      </c>
      <c r="E180" s="27">
        <v>0</v>
      </c>
      <c r="F180" s="27">
        <v>0</v>
      </c>
      <c r="G180" s="11">
        <f>SUM(C180:F180)</f>
        <v>4299.70126587101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3664</v>
      </c>
      <c r="D183" s="19">
        <v>252540</v>
      </c>
      <c r="E183" s="19">
        <f>E167+E171+E175+E179</f>
        <v>449</v>
      </c>
      <c r="F183" s="19">
        <f>+F179+F175+F171+F167</f>
        <v>1030</v>
      </c>
      <c r="G183" s="19">
        <f>SUM(C183:F183)</f>
        <v>257683</v>
      </c>
    </row>
    <row r="184" spans="2:8" x14ac:dyDescent="0.25">
      <c r="B184" s="18" t="s">
        <v>103</v>
      </c>
      <c r="C184" s="19">
        <f>+C180+C176+C172+C168</f>
        <v>149.32</v>
      </c>
      <c r="D184" s="19">
        <v>4422.9287538710105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4625.7487538710102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1834</v>
      </c>
      <c r="D187" s="27">
        <v>20653</v>
      </c>
      <c r="E187" s="27">
        <v>85</v>
      </c>
      <c r="F187" s="27">
        <v>34070</v>
      </c>
      <c r="G187" s="27">
        <f>SUM(C187:F187)</f>
        <v>56642</v>
      </c>
    </row>
    <row r="188" spans="2:8" x14ac:dyDescent="0.25">
      <c r="B188" s="14" t="s">
        <v>106</v>
      </c>
      <c r="C188" s="27">
        <f>19208396/1000000</f>
        <v>19.208396</v>
      </c>
      <c r="D188" s="27">
        <v>290.43473600000004</v>
      </c>
      <c r="E188" s="27">
        <v>3.36</v>
      </c>
      <c r="F188" s="27">
        <v>249.052819</v>
      </c>
      <c r="G188" s="11">
        <f>SUM(C188:F188)</f>
        <v>562.05595100000005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8766</v>
      </c>
      <c r="D191" s="19">
        <v>341946</v>
      </c>
      <c r="E191" s="19">
        <v>7296</v>
      </c>
      <c r="F191" s="19">
        <f>F158+F162+F183+F187</f>
        <v>68140</v>
      </c>
      <c r="G191" s="19">
        <f>SUM(C191:F191)</f>
        <v>426148</v>
      </c>
    </row>
    <row r="192" spans="2:8" x14ac:dyDescent="0.25">
      <c r="B192" s="18" t="s">
        <v>109</v>
      </c>
      <c r="C192" s="19">
        <f>C188+C163+C184</f>
        <v>245.408174</v>
      </c>
      <c r="D192" s="19">
        <v>5497.8882118710108</v>
      </c>
      <c r="E192" s="19">
        <v>134</v>
      </c>
      <c r="F192" s="19">
        <f>F159+F184+F163+F188</f>
        <v>498.08563800000002</v>
      </c>
      <c r="G192" s="22">
        <f>SUM(C192:F192)</f>
        <v>6375.3820238710105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96"/>
  <sheetViews>
    <sheetView zoomScaleNormal="100" workbookViewId="0">
      <selection activeCell="I69" sqref="I69"/>
    </sheetView>
  </sheetViews>
  <sheetFormatPr baseColWidth="10" defaultColWidth="9.140625" defaultRowHeight="15" x14ac:dyDescent="0.25"/>
  <cols>
    <col min="1" max="1" width="2.5703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4.710937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55242</v>
      </c>
      <c r="D6" s="12">
        <v>8160</v>
      </c>
      <c r="E6" s="12">
        <v>8164</v>
      </c>
      <c r="F6" s="12">
        <v>9841</v>
      </c>
      <c r="G6" s="12">
        <f>+F6+E6+D6+C6</f>
        <v>81407</v>
      </c>
    </row>
    <row r="7" spans="1:7" x14ac:dyDescent="0.25">
      <c r="B7" s="14" t="s">
        <v>10</v>
      </c>
      <c r="C7" s="12">
        <v>552</v>
      </c>
      <c r="D7" s="12">
        <v>249</v>
      </c>
      <c r="E7" s="12">
        <v>24</v>
      </c>
      <c r="F7" s="12">
        <v>145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55794</v>
      </c>
      <c r="D8" s="25">
        <f>+D6+D7</f>
        <v>8409</v>
      </c>
      <c r="E8" s="25">
        <v>8188</v>
      </c>
      <c r="F8" s="25">
        <v>9986</v>
      </c>
      <c r="G8" s="25">
        <f>+F8+E8+D8+C8</f>
        <v>82377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777794</v>
      </c>
      <c r="D12" s="17">
        <v>100946</v>
      </c>
      <c r="E12" s="17">
        <v>42324</v>
      </c>
      <c r="F12" s="17">
        <v>0</v>
      </c>
      <c r="G12" s="17">
        <f>SUM(C12:F12)</f>
        <v>921064</v>
      </c>
    </row>
    <row r="13" spans="1:7" x14ac:dyDescent="0.25">
      <c r="B13" s="16" t="s">
        <v>15</v>
      </c>
      <c r="C13" s="17">
        <v>2569928</v>
      </c>
      <c r="D13" s="17">
        <v>544758</v>
      </c>
      <c r="E13" s="17">
        <v>238035</v>
      </c>
      <c r="F13" s="17">
        <v>0</v>
      </c>
      <c r="G13" s="17">
        <f>SUM(C13:F13)</f>
        <v>3352721</v>
      </c>
    </row>
    <row r="14" spans="1:7" x14ac:dyDescent="0.25">
      <c r="B14" s="18" t="s">
        <v>16</v>
      </c>
      <c r="C14" s="19">
        <f>C13+C12</f>
        <v>3347722</v>
      </c>
      <c r="D14" s="19">
        <v>965728</v>
      </c>
      <c r="E14" s="19">
        <v>280359</v>
      </c>
      <c r="F14" s="19">
        <v>356400</v>
      </c>
      <c r="G14" s="19">
        <f>SUM(C14:F14)</f>
        <v>4950209</v>
      </c>
    </row>
    <row r="15" spans="1:7" x14ac:dyDescent="0.25">
      <c r="B15" s="18" t="s">
        <v>17</v>
      </c>
      <c r="C15" s="19">
        <v>528721</v>
      </c>
      <c r="D15" s="19">
        <v>169168</v>
      </c>
      <c r="E15" s="19">
        <v>3339</v>
      </c>
      <c r="F15" s="19">
        <v>151687</v>
      </c>
      <c r="G15" s="19">
        <f>SUM(C15:F15)</f>
        <v>852915</v>
      </c>
    </row>
    <row r="16" spans="1:7" x14ac:dyDescent="0.25">
      <c r="B16" s="18" t="s">
        <v>18</v>
      </c>
      <c r="C16" s="19">
        <f>C15+C14</f>
        <v>3876443</v>
      </c>
      <c r="D16" s="19">
        <v>1134896</v>
      </c>
      <c r="E16" s="19">
        <v>283698</v>
      </c>
      <c r="F16" s="19">
        <v>508087</v>
      </c>
      <c r="G16" s="19">
        <f>SUM(C16:F16)</f>
        <v>5803124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3481</v>
      </c>
      <c r="D19" s="27">
        <v>4</v>
      </c>
      <c r="E19" s="27">
        <v>0</v>
      </c>
      <c r="F19" s="27">
        <v>0</v>
      </c>
      <c r="G19" s="27">
        <f>SUM(C19:F19)</f>
        <v>3485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3879924</v>
      </c>
      <c r="D21" s="19">
        <v>1134900</v>
      </c>
      <c r="E21" s="19">
        <v>283698</v>
      </c>
      <c r="F21" s="19">
        <f>F16</f>
        <v>508087</v>
      </c>
      <c r="G21" s="19">
        <f>SUM(C21:F21)</f>
        <v>5806609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406686</v>
      </c>
      <c r="D24" s="19">
        <v>203834</v>
      </c>
      <c r="E24" s="19">
        <v>148020</v>
      </c>
      <c r="F24" s="19">
        <v>684122</v>
      </c>
      <c r="G24" s="19">
        <f>SUM(C24:F24)</f>
        <v>1442662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4286610</v>
      </c>
      <c r="D27" s="19">
        <f>+D24+D21</f>
        <v>1338734</v>
      </c>
      <c r="E27" s="19">
        <f>+E21+E24</f>
        <v>431718</v>
      </c>
      <c r="F27" s="19">
        <f>+F24+F21</f>
        <v>1192209</v>
      </c>
      <c r="G27" s="19">
        <f>SUM(C27:F27)</f>
        <v>7249271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1016477</v>
      </c>
      <c r="D30" s="27">
        <v>126564</v>
      </c>
      <c r="E30" s="27">
        <v>77785</v>
      </c>
      <c r="F30" s="27">
        <v>204991</v>
      </c>
      <c r="G30" s="27">
        <f>SUM(C30:F30)</f>
        <v>1425817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4143925290253</v>
      </c>
      <c r="D33" s="27">
        <v>675720318642</v>
      </c>
      <c r="E33" s="27">
        <v>273410001090</v>
      </c>
      <c r="F33" s="27">
        <v>485474407524</v>
      </c>
      <c r="G33" s="27">
        <f>SUM(C33:F33)</f>
        <v>5578530017509</v>
      </c>
    </row>
    <row r="34" spans="2:9" x14ac:dyDescent="0.25">
      <c r="B34" s="14" t="s">
        <v>30</v>
      </c>
      <c r="C34" s="27">
        <v>174722830983</v>
      </c>
      <c r="D34" s="27">
        <v>72415447879</v>
      </c>
      <c r="E34" s="27">
        <v>45646760000</v>
      </c>
      <c r="F34" s="27">
        <v>208877195413</v>
      </c>
      <c r="G34" s="27">
        <f>SUM(C34:F34)</f>
        <v>501662234275</v>
      </c>
    </row>
    <row r="35" spans="2:9" x14ac:dyDescent="0.25">
      <c r="B35" s="39" t="s">
        <v>31</v>
      </c>
      <c r="C35" s="40">
        <f>SUM(C33:C34)</f>
        <v>4318648121236</v>
      </c>
      <c r="D35" s="40">
        <v>748135766521</v>
      </c>
      <c r="E35" s="40">
        <v>319056761090</v>
      </c>
      <c r="F35" s="40">
        <v>694351602937</v>
      </c>
      <c r="G35" s="40">
        <f>SUM(C35:F35)</f>
        <v>6080192251784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709008</v>
      </c>
      <c r="D40" s="27">
        <v>114050</v>
      </c>
      <c r="E40" s="27">
        <v>50045</v>
      </c>
      <c r="F40" s="27">
        <v>70392</v>
      </c>
      <c r="G40" s="27">
        <f>SUM(C40:F40)</f>
        <v>943495</v>
      </c>
      <c r="H40" s="7"/>
      <c r="I40" s="7"/>
    </row>
    <row r="41" spans="2:9" x14ac:dyDescent="0.25">
      <c r="B41" s="14" t="s">
        <v>36</v>
      </c>
      <c r="C41" s="27">
        <f>5138840577/1000000</f>
        <v>5138.8405769999999</v>
      </c>
      <c r="D41" s="27">
        <v>1265.425651</v>
      </c>
      <c r="E41" s="27">
        <v>542.79999999999995</v>
      </c>
      <c r="F41" s="27">
        <v>722.01327000000003</v>
      </c>
      <c r="G41" s="11">
        <f>SUM(C41:F41)</f>
        <v>7669.079498000001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6</v>
      </c>
      <c r="D44" s="27">
        <v>3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27">
        <f>4824145/1000000</f>
        <v>4.8241449999999997</v>
      </c>
      <c r="D45" s="27">
        <v>2.6006999999999999E-2</v>
      </c>
      <c r="E45" s="27">
        <v>0</v>
      </c>
      <c r="F45" s="27">
        <v>0</v>
      </c>
      <c r="G45" s="11">
        <f>SUM(C45:F45)</f>
        <v>4.8501519999999996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156002</v>
      </c>
      <c r="D48" s="27">
        <v>79972</v>
      </c>
      <c r="E48" s="27">
        <v>13263</v>
      </c>
      <c r="F48" s="27">
        <v>64270</v>
      </c>
      <c r="G48" s="27">
        <f>SUM(C48:F48)</f>
        <v>313507</v>
      </c>
      <c r="H48" s="7"/>
      <c r="I48" s="7"/>
    </row>
    <row r="49" spans="2:9" x14ac:dyDescent="0.25">
      <c r="B49" s="14" t="s">
        <v>42</v>
      </c>
      <c r="C49" s="27">
        <f>(91964236743+  1748355832)/1000000</f>
        <v>93712.592575000002</v>
      </c>
      <c r="D49" s="27">
        <v>31273</v>
      </c>
      <c r="E49" s="27">
        <v>12192.960710000001</v>
      </c>
      <c r="F49" s="27">
        <v>13619.54083</v>
      </c>
      <c r="G49" s="11">
        <f>SUM(C49:F49)</f>
        <v>150798.09411500001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91486</v>
      </c>
      <c r="D55" s="27">
        <v>5381</v>
      </c>
      <c r="E55" s="27">
        <v>1329</v>
      </c>
      <c r="F55" s="27">
        <v>4625</v>
      </c>
      <c r="G55" s="27">
        <f t="shared" ref="G55:G71" si="0">SUM(C55:F55)</f>
        <v>102821</v>
      </c>
    </row>
    <row r="56" spans="2:9" x14ac:dyDescent="0.25">
      <c r="B56" s="14" t="s">
        <v>47</v>
      </c>
      <c r="C56" s="27">
        <v>72693.303750999999</v>
      </c>
      <c r="D56" s="27">
        <v>7303.9452209999699</v>
      </c>
      <c r="E56" s="27">
        <v>1916.1309940000001</v>
      </c>
      <c r="F56" s="27">
        <v>11686</v>
      </c>
      <c r="G56" s="27">
        <f t="shared" si="0"/>
        <v>93599.379965999979</v>
      </c>
    </row>
    <row r="57" spans="2:9" x14ac:dyDescent="0.25">
      <c r="B57" s="14" t="s">
        <v>48</v>
      </c>
      <c r="C57" s="27">
        <v>14.354163478565001</v>
      </c>
      <c r="D57" s="27">
        <v>39</v>
      </c>
      <c r="E57" s="27">
        <v>20.548532731376977</v>
      </c>
      <c r="F57" s="27">
        <v>29</v>
      </c>
      <c r="G57" s="27">
        <f>AVERAGE(C57:F57)</f>
        <v>25.725674052485495</v>
      </c>
    </row>
    <row r="58" spans="2:9" x14ac:dyDescent="0.25">
      <c r="B58" s="14" t="s">
        <v>49</v>
      </c>
      <c r="C58" s="27">
        <v>858186</v>
      </c>
      <c r="D58" s="27">
        <v>152922</v>
      </c>
      <c r="E58" s="27">
        <v>53040</v>
      </c>
      <c r="F58" s="27">
        <v>82660</v>
      </c>
      <c r="G58" s="27">
        <f t="shared" si="0"/>
        <v>1146808</v>
      </c>
    </row>
    <row r="59" spans="2:9" x14ac:dyDescent="0.25">
      <c r="B59" s="14" t="s">
        <v>50</v>
      </c>
      <c r="C59" s="27">
        <v>1880741.6576080001</v>
      </c>
      <c r="D59" s="27">
        <v>272801.35408100003</v>
      </c>
      <c r="E59" s="27">
        <v>109502.708142</v>
      </c>
      <c r="F59" s="27">
        <v>193267</v>
      </c>
      <c r="G59" s="11">
        <f t="shared" si="0"/>
        <v>2456312.7198310001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4035</v>
      </c>
      <c r="D67" s="27">
        <v>1799</v>
      </c>
      <c r="E67" s="27">
        <v>1653</v>
      </c>
      <c r="F67" s="27">
        <v>12149</v>
      </c>
      <c r="G67" s="27">
        <f t="shared" si="0"/>
        <v>19636</v>
      </c>
    </row>
    <row r="68" spans="2:8" x14ac:dyDescent="0.25">
      <c r="B68" s="14" t="s">
        <v>47</v>
      </c>
      <c r="C68" s="27">
        <v>3764.3909859999999</v>
      </c>
      <c r="D68" s="27">
        <v>1891.1827390000001</v>
      </c>
      <c r="E68" s="27">
        <v>2125.5826590000001</v>
      </c>
      <c r="F68" s="27">
        <v>15335</v>
      </c>
      <c r="G68" s="27">
        <f t="shared" si="0"/>
        <v>23116.156384000002</v>
      </c>
    </row>
    <row r="69" spans="2:8" x14ac:dyDescent="0.25">
      <c r="B69" s="14" t="s">
        <v>48</v>
      </c>
      <c r="C69" s="27">
        <v>33.477819083023498</v>
      </c>
      <c r="D69" s="27">
        <v>55</v>
      </c>
      <c r="E69" s="27">
        <v>50.071385359951606</v>
      </c>
      <c r="F69" s="27">
        <v>38</v>
      </c>
      <c r="G69" s="27">
        <f>AVERAGE(C69:F69)</f>
        <v>44.137301110743778</v>
      </c>
    </row>
    <row r="70" spans="2:8" x14ac:dyDescent="0.25">
      <c r="B70" s="14" t="s">
        <v>49</v>
      </c>
      <c r="C70" s="27">
        <v>138617</v>
      </c>
      <c r="D70" s="27">
        <v>90054</v>
      </c>
      <c r="E70" s="27">
        <v>70089</v>
      </c>
      <c r="F70" s="27">
        <v>275535</v>
      </c>
      <c r="G70" s="27">
        <f t="shared" si="0"/>
        <v>574295</v>
      </c>
    </row>
    <row r="71" spans="2:8" x14ac:dyDescent="0.25">
      <c r="B71" s="14" t="s">
        <v>50</v>
      </c>
      <c r="C71" s="27">
        <v>146097.25123600001</v>
      </c>
      <c r="D71" s="27">
        <v>106895.49415100001</v>
      </c>
      <c r="E71" s="27">
        <v>75392.014389000004</v>
      </c>
      <c r="F71" s="27">
        <v>261235</v>
      </c>
      <c r="G71" s="11">
        <f t="shared" si="0"/>
        <v>589619.75977600005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95521</v>
      </c>
      <c r="D73" s="19">
        <v>7180</v>
      </c>
      <c r="E73" s="19">
        <v>2982</v>
      </c>
      <c r="F73" s="19">
        <v>16774</v>
      </c>
      <c r="G73" s="19">
        <f>SUM(C73:F73)</f>
        <v>122457</v>
      </c>
    </row>
    <row r="74" spans="2:8" x14ac:dyDescent="0.25">
      <c r="B74" s="18" t="s">
        <v>47</v>
      </c>
      <c r="C74" s="19">
        <f>+C56+C68</f>
        <v>76457.694736999998</v>
      </c>
      <c r="D74" s="19">
        <v>9195.1279599999707</v>
      </c>
      <c r="E74" s="19">
        <v>4041.7136530000002</v>
      </c>
      <c r="F74" s="19">
        <v>27021</v>
      </c>
      <c r="G74" s="22">
        <f>SUM(C74:F74)</f>
        <v>116715.53634999997</v>
      </c>
    </row>
    <row r="75" spans="2:8" x14ac:dyDescent="0.25">
      <c r="B75" s="18" t="s">
        <v>48</v>
      </c>
      <c r="C75" s="19">
        <v>17.806167942977801</v>
      </c>
      <c r="D75" s="19">
        <v>31.333333333333332</v>
      </c>
      <c r="E75" s="19">
        <v>36.913816230717636</v>
      </c>
      <c r="F75" s="19">
        <v>33.5</v>
      </c>
      <c r="G75" s="19">
        <f>AVERAGE(C75:F75)</f>
        <v>29.888329376757191</v>
      </c>
    </row>
    <row r="76" spans="2:8" x14ac:dyDescent="0.25">
      <c r="B76" s="18" t="s">
        <v>49</v>
      </c>
      <c r="C76" s="19">
        <f>+C58+C70</f>
        <v>996803</v>
      </c>
      <c r="D76" s="19">
        <v>242976</v>
      </c>
      <c r="E76" s="19">
        <v>123129</v>
      </c>
      <c r="F76" s="19">
        <v>358195</v>
      </c>
      <c r="G76" s="19">
        <f>SUM(C76:F76)</f>
        <v>1721103</v>
      </c>
    </row>
    <row r="77" spans="2:8" x14ac:dyDescent="0.25">
      <c r="B77" s="18" t="s">
        <v>50</v>
      </c>
      <c r="C77" s="19">
        <f>+C59+C71</f>
        <v>2026838.9088440002</v>
      </c>
      <c r="D77" s="19">
        <v>379696.84823200002</v>
      </c>
      <c r="E77" s="19">
        <v>184894.72253100001</v>
      </c>
      <c r="F77" s="19">
        <v>454502</v>
      </c>
      <c r="G77" s="22">
        <f>SUM(C77:F77)</f>
        <v>3045932.4796070005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114</v>
      </c>
      <c r="E84" s="24">
        <v>6</v>
      </c>
      <c r="F84" s="24">
        <v>91</v>
      </c>
      <c r="G84" s="24">
        <f>SUM(C84:F84)</f>
        <v>1193</v>
      </c>
    </row>
    <row r="85" spans="2:7" x14ac:dyDescent="0.25">
      <c r="B85" s="14" t="s">
        <v>50</v>
      </c>
      <c r="C85" s="24">
        <v>21203.732155999998</v>
      </c>
      <c r="D85" s="24">
        <v>1433</v>
      </c>
      <c r="E85" s="24">
        <v>75</v>
      </c>
      <c r="F85" s="24">
        <v>1682.1102189999999</v>
      </c>
      <c r="G85" s="11">
        <f>SUM(C85:F85)</f>
        <v>24393.842374999997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/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172.19246799999999</v>
      </c>
      <c r="D97" s="24">
        <v>0</v>
      </c>
      <c r="E97" s="24"/>
      <c r="F97" s="24">
        <v>77.834811999999999</v>
      </c>
      <c r="G97" s="11">
        <f>SUM(C97:F97)</f>
        <v>250.02727999999999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f t="shared" ref="D102:D103" si="1">+D96+D90+D84</f>
        <v>114</v>
      </c>
      <c r="E102" s="19">
        <f>+E84</f>
        <v>6</v>
      </c>
      <c r="F102" s="19">
        <f>+F96+F84</f>
        <v>97</v>
      </c>
      <c r="G102" s="19">
        <f>SUM(C102:F102)</f>
        <v>1209</v>
      </c>
    </row>
    <row r="103" spans="2:8" x14ac:dyDescent="0.25">
      <c r="B103" s="18" t="s">
        <v>50</v>
      </c>
      <c r="C103" s="19">
        <f>+C97+C85</f>
        <v>21375.924623999999</v>
      </c>
      <c r="D103" s="19">
        <f t="shared" si="1"/>
        <v>1433</v>
      </c>
      <c r="E103" s="19">
        <f>+E85</f>
        <v>75</v>
      </c>
      <c r="F103" s="19">
        <f>+F85+F97</f>
        <v>1759.945031</v>
      </c>
      <c r="G103" s="22">
        <f>SUM(C103:F103)</f>
        <v>24643.869654999999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2.8192920181271939</v>
      </c>
      <c r="D107" s="13">
        <v>2.5499999999999998</v>
      </c>
      <c r="E107" s="30">
        <v>2.8244227642276423</v>
      </c>
      <c r="F107" s="13">
        <v>2.54</v>
      </c>
      <c r="G107" s="13">
        <f>AVERAGE(C107:F107)</f>
        <v>2.6834286955887086</v>
      </c>
    </row>
    <row r="108" spans="2:8" x14ac:dyDescent="0.25">
      <c r="B108" s="14" t="s">
        <v>60</v>
      </c>
      <c r="C108" s="13">
        <v>2.2357234636872261</v>
      </c>
      <c r="D108" s="13">
        <v>2.62</v>
      </c>
      <c r="E108" s="30">
        <v>2.6608433734939756</v>
      </c>
      <c r="F108" s="13">
        <v>2.62</v>
      </c>
      <c r="G108" s="13">
        <f>AVERAGE(C108:F108)</f>
        <v>2.5341417092953007</v>
      </c>
    </row>
    <row r="109" spans="2:8" x14ac:dyDescent="0.25">
      <c r="B109" s="14" t="s">
        <v>61</v>
      </c>
      <c r="C109" s="13">
        <v>2.039590554188603</v>
      </c>
      <c r="D109" s="13">
        <v>2.62</v>
      </c>
      <c r="E109" s="30">
        <v>2.6035294117647059</v>
      </c>
      <c r="F109" s="13">
        <v>2.62</v>
      </c>
      <c r="G109" s="13">
        <f>AVERAGE(C109:F109)</f>
        <v>2.4707799914883273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1.966666666666667</v>
      </c>
      <c r="D111" s="13">
        <v>1.95</v>
      </c>
      <c r="E111" s="30">
        <v>1.4350000000000001</v>
      </c>
      <c r="F111" s="13">
        <v>1.8</v>
      </c>
      <c r="G111" s="13">
        <f>AVERAGE(C111:F111)</f>
        <v>1.7879166666666666</v>
      </c>
    </row>
    <row r="112" spans="2:8" x14ac:dyDescent="0.25">
      <c r="B112" s="14" t="s">
        <v>60</v>
      </c>
      <c r="C112" s="13">
        <v>2.0038834951456326</v>
      </c>
      <c r="D112" s="13">
        <v>2.16</v>
      </c>
      <c r="E112" s="30">
        <v>2.16</v>
      </c>
      <c r="F112" s="13">
        <v>2.16</v>
      </c>
      <c r="G112" s="13">
        <f>AVERAGE(C112:F112)</f>
        <v>2.1209708737864084</v>
      </c>
    </row>
    <row r="113" spans="2:9" x14ac:dyDescent="0.25">
      <c r="B113" s="14" t="s">
        <v>61</v>
      </c>
      <c r="C113" s="13">
        <v>2.0000580875781875</v>
      </c>
      <c r="D113" s="13">
        <v>2.16</v>
      </c>
      <c r="E113" s="30">
        <v>2.06</v>
      </c>
      <c r="F113" s="13">
        <v>2.14</v>
      </c>
      <c r="G113" s="13">
        <f>AVERAGE(C113:F113)</f>
        <v>2.0900145218945472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1.4967835178351787</v>
      </c>
      <c r="D116" s="13">
        <v>1.79</v>
      </c>
      <c r="E116" s="30">
        <v>1.9646666666666668</v>
      </c>
      <c r="F116" s="13">
        <v>1.78</v>
      </c>
      <c r="G116" s="13">
        <f>AVERAGE(C116:F116)</f>
        <v>1.7578625461254616</v>
      </c>
    </row>
    <row r="117" spans="2:9" x14ac:dyDescent="0.25">
      <c r="B117" s="14" t="s">
        <v>60</v>
      </c>
      <c r="C117" s="13">
        <v>1.757333333333382</v>
      </c>
      <c r="D117" s="13">
        <v>1.79</v>
      </c>
      <c r="E117" s="30">
        <v>1.9279338842975207</v>
      </c>
      <c r="F117" s="13">
        <v>1.78</v>
      </c>
      <c r="G117" s="13">
        <f>AVERAGE(C117:F117)</f>
        <v>1.8138168044077259</v>
      </c>
    </row>
    <row r="118" spans="2:9" x14ac:dyDescent="0.25">
      <c r="B118" s="14" t="s">
        <v>61</v>
      </c>
      <c r="C118" s="13">
        <v>1.7146938775510236</v>
      </c>
      <c r="D118" s="13">
        <v>1.74</v>
      </c>
      <c r="E118" s="30">
        <v>2.0249886104783599</v>
      </c>
      <c r="F118" s="13">
        <v>1.99</v>
      </c>
      <c r="G118" s="13">
        <f>AVERAGE(C118:F118)</f>
        <v>1.8674206220073459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1.43</v>
      </c>
      <c r="F122" s="13">
        <v>1.43</v>
      </c>
      <c r="G122" s="13">
        <f>AVERAGE(C122:F122)</f>
        <v>1.43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1.99</v>
      </c>
      <c r="D127" s="37">
        <v>2.0979809999999999</v>
      </c>
      <c r="E127" s="33">
        <v>2.3023111029526753</v>
      </c>
      <c r="F127" s="4">
        <v>0</v>
      </c>
      <c r="G127" s="11">
        <f>AVERAGE(C127:E127)</f>
        <v>2.1300973676508916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238248</v>
      </c>
      <c r="D130" s="27">
        <v>3447</v>
      </c>
      <c r="E130" s="27">
        <v>8106</v>
      </c>
      <c r="F130" s="27">
        <v>767</v>
      </c>
      <c r="G130" s="27">
        <f>SUM(C130:F130)</f>
        <v>250568</v>
      </c>
    </row>
    <row r="131" spans="2:9" x14ac:dyDescent="0.25">
      <c r="B131" s="14" t="s">
        <v>71</v>
      </c>
      <c r="C131" s="27">
        <v>159306.50850200001</v>
      </c>
      <c r="D131" s="27">
        <v>3876</v>
      </c>
      <c r="E131" s="27">
        <v>1010</v>
      </c>
      <c r="F131" s="27">
        <v>738.02029900000002</v>
      </c>
      <c r="G131" s="11">
        <f>SUM(C131:F131)</f>
        <v>164930.52880100001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832224</v>
      </c>
      <c r="D134" s="27">
        <v>396138</v>
      </c>
      <c r="E134" s="27">
        <v>145197</v>
      </c>
      <c r="F134" s="27">
        <v>290470</v>
      </c>
      <c r="G134" s="27">
        <f>SUM(C134:F134)</f>
        <v>1664029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15113</v>
      </c>
      <c r="G138" s="27">
        <f>SUM(C138:F138)</f>
        <v>15113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215</v>
      </c>
      <c r="G139" s="27">
        <f>SUM(C139:F139)</f>
        <v>215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1075</v>
      </c>
      <c r="E146" s="27">
        <v>0</v>
      </c>
      <c r="F146" s="1">
        <v>893</v>
      </c>
      <c r="G146" s="27">
        <f>SUM(C146:F146)</f>
        <v>1968</v>
      </c>
    </row>
    <row r="147" spans="2:8" x14ac:dyDescent="0.25">
      <c r="B147" s="14" t="s">
        <v>82</v>
      </c>
      <c r="C147" s="27">
        <v>0</v>
      </c>
      <c r="D147" s="27">
        <v>23.456</v>
      </c>
      <c r="E147" s="27">
        <v>0</v>
      </c>
      <c r="F147" s="29">
        <v>9.4142499999999991</v>
      </c>
      <c r="G147" s="11">
        <f>SUM(C147:F147)</f>
        <v>32.870249999999999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0.44</v>
      </c>
      <c r="E151" s="27">
        <v>0</v>
      </c>
      <c r="F151" s="27">
        <v>0</v>
      </c>
      <c r="G151" s="11">
        <f>SUM(C151:F151)</f>
        <v>0.44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427</v>
      </c>
      <c r="E154" s="35">
        <v>0</v>
      </c>
      <c r="F154" s="34">
        <v>0</v>
      </c>
      <c r="G154" s="27">
        <f>SUM(C154:F154)</f>
        <v>427</v>
      </c>
      <c r="H154"/>
    </row>
    <row r="155" spans="2:8" x14ac:dyDescent="0.25">
      <c r="B155" s="14" t="s">
        <v>88</v>
      </c>
      <c r="C155" s="11">
        <v>0</v>
      </c>
      <c r="D155" s="27">
        <v>5.75</v>
      </c>
      <c r="E155" s="35">
        <v>0</v>
      </c>
      <c r="F155" s="34">
        <v>0</v>
      </c>
      <c r="G155" s="11">
        <f>SUM(C155:F155)</f>
        <v>5.75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1506</v>
      </c>
      <c r="E158" s="19">
        <v>0</v>
      </c>
      <c r="F158" s="19">
        <f>F146+F154</f>
        <v>893</v>
      </c>
      <c r="G158" s="19">
        <f>SUM(C158:F158)</f>
        <v>2399</v>
      </c>
    </row>
    <row r="159" spans="2:8" x14ac:dyDescent="0.25">
      <c r="B159" s="18" t="s">
        <v>91</v>
      </c>
      <c r="C159" s="19">
        <v>0</v>
      </c>
      <c r="D159" s="19">
        <v>29.646000000000001</v>
      </c>
      <c r="E159" s="19">
        <v>0</v>
      </c>
      <c r="F159" s="19">
        <f>F147+F155</f>
        <v>9.4142499999999991</v>
      </c>
      <c r="G159" s="22">
        <f>SUM(C159:F159)</f>
        <v>39.060249999999996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3006</v>
      </c>
      <c r="D162" s="27">
        <v>50777</v>
      </c>
      <c r="E162" s="27">
        <v>6191</v>
      </c>
      <c r="F162" s="27">
        <v>31409</v>
      </c>
      <c r="G162" s="27">
        <f>SUM(C162:F162)</f>
        <v>91383</v>
      </c>
    </row>
    <row r="163" spans="2:8" x14ac:dyDescent="0.25">
      <c r="B163" s="14" t="s">
        <v>88</v>
      </c>
      <c r="C163" s="27">
        <f>69596924/1000000</f>
        <v>69.596924000000001</v>
      </c>
      <c r="D163" s="27">
        <v>128.09056700000002</v>
      </c>
      <c r="E163" s="27">
        <v>99.384868999999995</v>
      </c>
      <c r="F163" s="27">
        <v>197.4366</v>
      </c>
      <c r="G163" s="11">
        <f>SUM(C163:F163)</f>
        <v>494.50896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603</v>
      </c>
      <c r="D167" s="27">
        <v>3540</v>
      </c>
      <c r="E167" s="27">
        <v>79</v>
      </c>
      <c r="F167" s="27">
        <v>472</v>
      </c>
      <c r="G167" s="27">
        <f>SUM(C167:F167)</f>
        <v>4694</v>
      </c>
    </row>
    <row r="168" spans="2:8" x14ac:dyDescent="0.25">
      <c r="B168" s="14" t="s">
        <v>96</v>
      </c>
      <c r="C168" s="27">
        <f>21105000/1000000</f>
        <v>21.105</v>
      </c>
      <c r="D168" s="27">
        <v>97.115776999999994</v>
      </c>
      <c r="E168" s="27">
        <v>2.6</v>
      </c>
      <c r="F168" s="27">
        <v>17.07</v>
      </c>
      <c r="G168" s="11">
        <f>SUM(C168:F168)</f>
        <v>137.89077699999999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1833</v>
      </c>
      <c r="D171" s="27">
        <v>484</v>
      </c>
      <c r="E171" s="27">
        <v>117</v>
      </c>
      <c r="F171" s="27">
        <v>436</v>
      </c>
      <c r="G171" s="27">
        <f>SUM(C171:F171)</f>
        <v>2870</v>
      </c>
    </row>
    <row r="172" spans="2:8" x14ac:dyDescent="0.25">
      <c r="B172" s="14" t="s">
        <v>96</v>
      </c>
      <c r="C172" s="27">
        <f>64155000/1000000</f>
        <v>64.155000000000001</v>
      </c>
      <c r="D172" s="27">
        <v>10.163</v>
      </c>
      <c r="E172" s="27">
        <v>2.9</v>
      </c>
      <c r="F172" s="27">
        <v>9.593</v>
      </c>
      <c r="G172" s="11">
        <f>SUM(C172:F172)</f>
        <v>86.811000000000007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231</v>
      </c>
      <c r="D175" s="27">
        <v>393</v>
      </c>
      <c r="E175" s="27">
        <v>202</v>
      </c>
      <c r="F175" s="14">
        <v>45</v>
      </c>
      <c r="G175" s="27">
        <f>SUM(C175:F175)</f>
        <v>871</v>
      </c>
    </row>
    <row r="176" spans="2:8" x14ac:dyDescent="0.25">
      <c r="B176" s="14" t="s">
        <v>96</v>
      </c>
      <c r="C176" s="27">
        <f>24290000/1000000</f>
        <v>24.29</v>
      </c>
      <c r="D176" s="27">
        <v>41.35</v>
      </c>
      <c r="E176" s="27">
        <v>11.19</v>
      </c>
      <c r="F176" s="27">
        <v>4.45</v>
      </c>
      <c r="G176" s="11">
        <f>SUM(C176:F176)</f>
        <v>81.28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291</v>
      </c>
      <c r="D179" s="27">
        <v>233087</v>
      </c>
      <c r="E179" s="27">
        <v>0</v>
      </c>
      <c r="F179" s="27">
        <v>0</v>
      </c>
      <c r="G179" s="27">
        <f>SUM(C179:F179)</f>
        <v>233378</v>
      </c>
    </row>
    <row r="180" spans="2:8" x14ac:dyDescent="0.25">
      <c r="B180" s="14" t="s">
        <v>96</v>
      </c>
      <c r="C180" s="27">
        <f>11755000/1000000</f>
        <v>11.755000000000001</v>
      </c>
      <c r="D180" s="27">
        <v>4235.3529471964503</v>
      </c>
      <c r="E180" s="27">
        <v>0</v>
      </c>
      <c r="F180" s="27">
        <v>0</v>
      </c>
      <c r="G180" s="11">
        <f>SUM(C180:F180)</f>
        <v>4247.1079471964504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2958</v>
      </c>
      <c r="D183" s="19">
        <v>237504</v>
      </c>
      <c r="E183" s="19">
        <v>398</v>
      </c>
      <c r="F183" s="19">
        <f>+F179+F175+F171+F167</f>
        <v>953</v>
      </c>
      <c r="G183" s="19">
        <f>SUM(C183:F183)</f>
        <v>241813</v>
      </c>
    </row>
    <row r="184" spans="2:8" x14ac:dyDescent="0.25">
      <c r="B184" s="18" t="s">
        <v>103</v>
      </c>
      <c r="C184" s="19">
        <f>+C180+C176+C172+C168</f>
        <v>121.30500000000001</v>
      </c>
      <c r="D184" s="19">
        <v>4383.9817241964502</v>
      </c>
      <c r="E184" s="19">
        <v>16.689999999999998</v>
      </c>
      <c r="F184" s="19">
        <f>+F180+F176+F172+F168</f>
        <v>31.113</v>
      </c>
      <c r="G184" s="22">
        <f>SUM(C184:F184)</f>
        <v>4553.0897241964503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1839</v>
      </c>
      <c r="D187" s="27">
        <v>7094</v>
      </c>
      <c r="E187" s="27">
        <v>66</v>
      </c>
      <c r="F187" s="27">
        <v>33255</v>
      </c>
      <c r="G187" s="27">
        <f>SUM(C187:F187)</f>
        <v>42254</v>
      </c>
    </row>
    <row r="188" spans="2:8" x14ac:dyDescent="0.25">
      <c r="B188" s="14" t="s">
        <v>106</v>
      </c>
      <c r="C188" s="27">
        <f>20336096/1000000</f>
        <v>20.336096000000001</v>
      </c>
      <c r="D188" s="27">
        <v>202.90669400000002</v>
      </c>
      <c r="E188" s="27">
        <v>2.64</v>
      </c>
      <c r="F188" s="27">
        <v>237.98384999999996</v>
      </c>
      <c r="G188" s="11">
        <f>SUM(C188:F188)</f>
        <v>463.86663999999996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7803</v>
      </c>
      <c r="D191" s="19">
        <v>296881</v>
      </c>
      <c r="E191" s="19">
        <v>6655</v>
      </c>
      <c r="F191" s="19">
        <f>F158+F162+F183+F187</f>
        <v>66510</v>
      </c>
      <c r="G191" s="19">
        <f>SUM(C191:F191)</f>
        <v>377849</v>
      </c>
    </row>
    <row r="192" spans="2:8" x14ac:dyDescent="0.25">
      <c r="B192" s="18" t="s">
        <v>109</v>
      </c>
      <c r="C192" s="19">
        <f>C188+C163+C184</f>
        <v>211.23802000000001</v>
      </c>
      <c r="D192" s="19">
        <v>4744.6249851964503</v>
      </c>
      <c r="E192" s="19">
        <v>118.71486899999999</v>
      </c>
      <c r="F192" s="19">
        <f>F159+F184+F163+F188</f>
        <v>475.94769999999994</v>
      </c>
      <c r="G192" s="22">
        <f>SUM(C192:F192)</f>
        <v>5550.5255741964502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96"/>
  <sheetViews>
    <sheetView zoomScaleNormal="100" workbookViewId="0">
      <selection activeCell="I70" sqref="I70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55155</v>
      </c>
      <c r="D6" s="12">
        <v>8153</v>
      </c>
      <c r="E6" s="12">
        <v>8127</v>
      </c>
      <c r="F6" s="12">
        <v>9811</v>
      </c>
      <c r="G6" s="12">
        <f>+F6+E6+D6+C6</f>
        <v>81246</v>
      </c>
    </row>
    <row r="7" spans="1:7" x14ac:dyDescent="0.25">
      <c r="B7" s="14" t="s">
        <v>10</v>
      </c>
      <c r="C7" s="12">
        <v>553</v>
      </c>
      <c r="D7" s="12">
        <v>250</v>
      </c>
      <c r="E7" s="12">
        <v>24</v>
      </c>
      <c r="F7" s="12">
        <v>143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55708</v>
      </c>
      <c r="D8" s="25">
        <f>+D6+D7</f>
        <v>8403</v>
      </c>
      <c r="E8" s="25">
        <v>8151</v>
      </c>
      <c r="F8" s="25">
        <v>9954</v>
      </c>
      <c r="G8" s="25">
        <f>+F8+E8+D8+C8</f>
        <v>82216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774161</v>
      </c>
      <c r="D12" s="17">
        <v>100902</v>
      </c>
      <c r="E12" s="17">
        <v>41467</v>
      </c>
      <c r="F12" s="17">
        <v>0</v>
      </c>
      <c r="G12" s="17">
        <f>SUM(C12:F12)</f>
        <v>916530</v>
      </c>
    </row>
    <row r="13" spans="1:7" x14ac:dyDescent="0.25">
      <c r="B13" s="16" t="s">
        <v>15</v>
      </c>
      <c r="C13" s="17">
        <v>2550326</v>
      </c>
      <c r="D13" s="17">
        <v>546109</v>
      </c>
      <c r="E13" s="17">
        <v>234866</v>
      </c>
      <c r="F13" s="17">
        <v>0</v>
      </c>
      <c r="G13" s="17">
        <f>SUM(C13:F13)</f>
        <v>3331301</v>
      </c>
    </row>
    <row r="14" spans="1:7" x14ac:dyDescent="0.25">
      <c r="B14" s="18" t="s">
        <v>16</v>
      </c>
      <c r="C14" s="19">
        <f>C13+C12</f>
        <v>3324487</v>
      </c>
      <c r="D14" s="19">
        <v>959018</v>
      </c>
      <c r="E14" s="19">
        <v>276333</v>
      </c>
      <c r="F14" s="19">
        <v>350551</v>
      </c>
      <c r="G14" s="19">
        <f>SUM(C14:F14)</f>
        <v>4910389</v>
      </c>
    </row>
    <row r="15" spans="1:7" x14ac:dyDescent="0.25">
      <c r="B15" s="18" t="s">
        <v>17</v>
      </c>
      <c r="C15" s="19">
        <v>529518</v>
      </c>
      <c r="D15" s="19">
        <v>170056</v>
      </c>
      <c r="E15" s="19">
        <v>3404</v>
      </c>
      <c r="F15" s="19">
        <v>148948</v>
      </c>
      <c r="G15" s="19">
        <f>SUM(C15:F15)</f>
        <v>851926</v>
      </c>
    </row>
    <row r="16" spans="1:7" x14ac:dyDescent="0.25">
      <c r="B16" s="18" t="s">
        <v>18</v>
      </c>
      <c r="C16" s="19">
        <f>C15+C14</f>
        <v>3854005</v>
      </c>
      <c r="D16" s="19">
        <v>1129074</v>
      </c>
      <c r="E16" s="19">
        <v>279737</v>
      </c>
      <c r="F16" s="19">
        <v>499499</v>
      </c>
      <c r="G16" s="19">
        <f>SUM(C16:F16)</f>
        <v>5762315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3857478</v>
      </c>
      <c r="D21" s="19">
        <v>1129078</v>
      </c>
      <c r="E21" s="19">
        <v>279737</v>
      </c>
      <c r="F21" s="19">
        <f>F16</f>
        <v>499499</v>
      </c>
      <c r="G21" s="19">
        <f>SUM(C21:F21)</f>
        <v>5765792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408150</v>
      </c>
      <c r="D24" s="19">
        <v>205340</v>
      </c>
      <c r="E24" s="19">
        <v>150193</v>
      </c>
      <c r="F24" s="19">
        <v>684095</v>
      </c>
      <c r="G24" s="19">
        <f>SUM(C24:F24)</f>
        <v>1447778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4265628</v>
      </c>
      <c r="D27" s="19">
        <f>+D24+D21</f>
        <v>1334418</v>
      </c>
      <c r="E27" s="19">
        <f>+E21+E24</f>
        <v>429930</v>
      </c>
      <c r="F27" s="19">
        <f>+F24+F21</f>
        <v>1183594</v>
      </c>
      <c r="G27" s="19">
        <f>SUM(C27:F27)</f>
        <v>7213570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1272305</v>
      </c>
      <c r="D30" s="27">
        <v>129986</v>
      </c>
      <c r="E30" s="27">
        <v>78987</v>
      </c>
      <c r="F30" s="27">
        <v>207041</v>
      </c>
      <c r="G30" s="27">
        <f>SUM(C30:F30)</f>
        <v>1688319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4112934884939</v>
      </c>
      <c r="D33" s="27">
        <v>769263560318</v>
      </c>
      <c r="E33" s="27">
        <v>277259643067</v>
      </c>
      <c r="F33" s="27">
        <v>474440789590</v>
      </c>
      <c r="G33" s="27">
        <f>SUM(C33:F33)</f>
        <v>5633898877914</v>
      </c>
    </row>
    <row r="34" spans="2:9" x14ac:dyDescent="0.25">
      <c r="B34" s="14" t="s">
        <v>30</v>
      </c>
      <c r="C34" s="27">
        <v>175286261529</v>
      </c>
      <c r="D34" s="27">
        <v>72696977618</v>
      </c>
      <c r="E34" s="27">
        <v>46007717000</v>
      </c>
      <c r="F34" s="27">
        <v>209109503862</v>
      </c>
      <c r="G34" s="27">
        <f>SUM(C34:F34)</f>
        <v>503100460009</v>
      </c>
    </row>
    <row r="35" spans="2:9" x14ac:dyDescent="0.25">
      <c r="B35" s="39" t="s">
        <v>31</v>
      </c>
      <c r="C35" s="40">
        <f>SUM(C33:C34)</f>
        <v>4288221146468</v>
      </c>
      <c r="D35" s="40">
        <f>+D34+D33</f>
        <v>841960537936</v>
      </c>
      <c r="E35" s="40">
        <v>323267360067</v>
      </c>
      <c r="F35" s="40">
        <v>683550293452</v>
      </c>
      <c r="G35" s="40">
        <f>SUM(C35:F35)</f>
        <v>6136999337923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772289</v>
      </c>
      <c r="D40" s="27">
        <v>116544</v>
      </c>
      <c r="E40" s="27">
        <v>52064</v>
      </c>
      <c r="F40" s="27">
        <v>72857</v>
      </c>
      <c r="G40" s="27">
        <f>SUM(C40:F40)</f>
        <v>1013754</v>
      </c>
      <c r="H40" s="7"/>
      <c r="I40" s="7"/>
    </row>
    <row r="41" spans="2:9" x14ac:dyDescent="0.25">
      <c r="B41" s="14" t="s">
        <v>36</v>
      </c>
      <c r="C41" s="27">
        <f>5183528815/1000000</f>
        <v>5183.5288149999997</v>
      </c>
      <c r="D41" s="27">
        <v>1302.506887</v>
      </c>
      <c r="E41" s="27">
        <v>560.29999999999995</v>
      </c>
      <c r="F41" s="27">
        <v>748.23556199999996</v>
      </c>
      <c r="G41" s="11">
        <f>SUM(C41:F41)</f>
        <v>7794.5712639999992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6</v>
      </c>
      <c r="D44" s="27">
        <v>1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4796214/1000000</f>
        <v>4.796214</v>
      </c>
      <c r="D45" s="27">
        <v>8.6689999999999996E-3</v>
      </c>
      <c r="E45" s="27">
        <v>0</v>
      </c>
      <c r="F45" s="27">
        <v>0</v>
      </c>
      <c r="G45" s="11">
        <f>SUM(C45:F45)</f>
        <v>4.8048830000000002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156995</v>
      </c>
      <c r="D48" s="27">
        <v>65042</v>
      </c>
      <c r="E48" s="27">
        <v>9103</v>
      </c>
      <c r="F48" s="27">
        <v>50692</v>
      </c>
      <c r="G48" s="27">
        <f>SUM(C48:F48)</f>
        <v>281832</v>
      </c>
      <c r="H48" s="7"/>
      <c r="I48" s="7"/>
    </row>
    <row r="49" spans="2:9" x14ac:dyDescent="0.25">
      <c r="B49" s="14" t="s">
        <v>42</v>
      </c>
      <c r="C49" s="27">
        <f>(73270458181+1426310894)/1000000</f>
        <v>74696.769075000004</v>
      </c>
      <c r="D49" s="27">
        <v>28383</v>
      </c>
      <c r="E49" s="27">
        <v>9551.5874220000005</v>
      </c>
      <c r="F49" s="27">
        <v>10558.698241</v>
      </c>
      <c r="G49" s="11">
        <f>SUM(C49:F49)</f>
        <v>123190.05473800001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87631</v>
      </c>
      <c r="D55" s="27">
        <v>4206</v>
      </c>
      <c r="E55" s="27">
        <v>1185</v>
      </c>
      <c r="F55" s="27">
        <v>3847</v>
      </c>
      <c r="G55" s="27">
        <f t="shared" ref="G55:G71" si="0">SUM(C55:F55)</f>
        <v>96869</v>
      </c>
    </row>
    <row r="56" spans="2:9" x14ac:dyDescent="0.25">
      <c r="B56" s="14" t="s">
        <v>47</v>
      </c>
      <c r="C56" s="27">
        <v>61167.271449</v>
      </c>
      <c r="D56" s="27">
        <v>5311.7410299999801</v>
      </c>
      <c r="E56" s="27">
        <v>1933.898692</v>
      </c>
      <c r="F56" s="27">
        <v>9265</v>
      </c>
      <c r="G56" s="27">
        <f t="shared" si="0"/>
        <v>77677.911170999985</v>
      </c>
    </row>
    <row r="57" spans="2:9" x14ac:dyDescent="0.25">
      <c r="B57" s="14" t="s">
        <v>48</v>
      </c>
      <c r="C57" s="27">
        <v>12.902420376350801</v>
      </c>
      <c r="D57" s="27">
        <v>38</v>
      </c>
      <c r="E57" s="27">
        <v>21.611814345991561</v>
      </c>
      <c r="F57" s="27">
        <v>28</v>
      </c>
      <c r="G57" s="27">
        <f>AVERAGE(C57:F57)</f>
        <v>25.128558680585591</v>
      </c>
    </row>
    <row r="58" spans="2:9" x14ac:dyDescent="0.25">
      <c r="B58" s="14" t="s">
        <v>49</v>
      </c>
      <c r="C58" s="27">
        <v>866277</v>
      </c>
      <c r="D58" s="27">
        <v>152174</v>
      </c>
      <c r="E58" s="27">
        <v>52862</v>
      </c>
      <c r="F58" s="27">
        <v>82128</v>
      </c>
      <c r="G58" s="27">
        <f t="shared" si="0"/>
        <v>1153441</v>
      </c>
    </row>
    <row r="59" spans="2:9" x14ac:dyDescent="0.25">
      <c r="B59" s="14" t="s">
        <v>50</v>
      </c>
      <c r="C59" s="27">
        <v>1892946.415152</v>
      </c>
      <c r="D59" s="27">
        <v>271946.349712</v>
      </c>
      <c r="E59" s="27">
        <v>109279.014238</v>
      </c>
      <c r="F59" s="27">
        <v>193336</v>
      </c>
      <c r="G59" s="11">
        <f t="shared" si="0"/>
        <v>2467507.7791019999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3702</v>
      </c>
      <c r="D67" s="27">
        <v>1954</v>
      </c>
      <c r="E67" s="27">
        <v>2022</v>
      </c>
      <c r="F67" s="27">
        <v>11303</v>
      </c>
      <c r="G67" s="27">
        <f t="shared" si="0"/>
        <v>18981</v>
      </c>
    </row>
    <row r="68" spans="2:8" x14ac:dyDescent="0.25">
      <c r="B68" s="14" t="s">
        <v>47</v>
      </c>
      <c r="C68" s="27">
        <v>3406.8509180000001</v>
      </c>
      <c r="D68" s="27">
        <v>1978.566615</v>
      </c>
      <c r="E68" s="27">
        <v>2702.6797069999998</v>
      </c>
      <c r="F68" s="27">
        <v>14944</v>
      </c>
      <c r="G68" s="27">
        <f t="shared" si="0"/>
        <v>23032.097239999999</v>
      </c>
    </row>
    <row r="69" spans="2:8" x14ac:dyDescent="0.25">
      <c r="B69" s="14" t="s">
        <v>48</v>
      </c>
      <c r="C69" s="27">
        <v>33.545380875202603</v>
      </c>
      <c r="D69" s="27">
        <v>55</v>
      </c>
      <c r="E69" s="27">
        <v>50.045994065281896</v>
      </c>
      <c r="F69" s="27">
        <v>39</v>
      </c>
      <c r="G69" s="27">
        <f>AVERAGE(C69:F69)</f>
        <v>44.397843735121121</v>
      </c>
    </row>
    <row r="70" spans="2:8" x14ac:dyDescent="0.25">
      <c r="B70" s="14" t="s">
        <v>49</v>
      </c>
      <c r="C70" s="27">
        <v>138609</v>
      </c>
      <c r="D70" s="27">
        <v>90023</v>
      </c>
      <c r="E70" s="27">
        <v>71414</v>
      </c>
      <c r="F70" s="27">
        <v>275525</v>
      </c>
      <c r="G70" s="27">
        <f t="shared" si="0"/>
        <v>575571</v>
      </c>
    </row>
    <row r="71" spans="2:8" x14ac:dyDescent="0.25">
      <c r="B71" s="14" t="s">
        <v>50</v>
      </c>
      <c r="C71" s="27">
        <v>146528.93085400001</v>
      </c>
      <c r="D71" s="27">
        <v>107674.960561</v>
      </c>
      <c r="E71" s="27">
        <v>77713.724084000001</v>
      </c>
      <c r="F71" s="27">
        <v>262106</v>
      </c>
      <c r="G71" s="11">
        <f t="shared" si="0"/>
        <v>594023.61549900007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91333</v>
      </c>
      <c r="D73" s="19">
        <f>+D67+D61+D55</f>
        <v>6160</v>
      </c>
      <c r="E73" s="19">
        <v>3207</v>
      </c>
      <c r="F73" s="19">
        <f>+F55+F67</f>
        <v>15150</v>
      </c>
      <c r="G73" s="19">
        <f>SUM(C73:F73)</f>
        <v>115850</v>
      </c>
    </row>
    <row r="74" spans="2:8" x14ac:dyDescent="0.25">
      <c r="B74" s="18" t="s">
        <v>47</v>
      </c>
      <c r="C74" s="19">
        <f>+C56+C68</f>
        <v>64574.122367000004</v>
      </c>
      <c r="D74" s="19">
        <f>+D68+D62+D56</f>
        <v>7290.3076449999799</v>
      </c>
      <c r="E74" s="19">
        <v>4636.578399</v>
      </c>
      <c r="F74" s="19">
        <f>+F56+F68</f>
        <v>24209</v>
      </c>
      <c r="G74" s="22">
        <f>SUM(C74:F74)</f>
        <v>100710.00841099999</v>
      </c>
    </row>
    <row r="75" spans="2:8" x14ac:dyDescent="0.25">
      <c r="B75" s="18" t="s">
        <v>48</v>
      </c>
      <c r="C75" s="19">
        <v>16.282103225291401</v>
      </c>
      <c r="D75" s="19">
        <f>(+D57+D63+D69)/3</f>
        <v>31</v>
      </c>
      <c r="E75" s="19">
        <v>39.539444964140941</v>
      </c>
      <c r="F75" s="19">
        <f>(F57+F69)/2</f>
        <v>33.5</v>
      </c>
      <c r="G75" s="19">
        <f>AVERAGE(C75:F75)</f>
        <v>30.080387047358087</v>
      </c>
    </row>
    <row r="76" spans="2:8" x14ac:dyDescent="0.25">
      <c r="B76" s="18" t="s">
        <v>49</v>
      </c>
      <c r="C76" s="19">
        <f>+C58+C70</f>
        <v>1004886</v>
      </c>
      <c r="D76" s="19">
        <f t="shared" ref="D76" si="1">+D70+D64+D58</f>
        <v>242197</v>
      </c>
      <c r="E76" s="19">
        <v>124276</v>
      </c>
      <c r="F76" s="19">
        <f>+F58+F70</f>
        <v>357653</v>
      </c>
      <c r="G76" s="19">
        <f>SUM(C76:F76)</f>
        <v>1729012</v>
      </c>
    </row>
    <row r="77" spans="2:8" x14ac:dyDescent="0.25">
      <c r="B77" s="18" t="s">
        <v>50</v>
      </c>
      <c r="C77" s="19">
        <f>+C59+C71</f>
        <v>2039475.3460059999</v>
      </c>
      <c r="D77" s="19">
        <f>+D71+D65+D59</f>
        <v>379621.31027299998</v>
      </c>
      <c r="E77" s="19">
        <v>186992.73832200002</v>
      </c>
      <c r="F77" s="19">
        <f>+F59+F71</f>
        <v>455442</v>
      </c>
      <c r="G77" s="22">
        <f>SUM(C77:F77)</f>
        <v>3061531.394601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113</v>
      </c>
      <c r="E84" s="24">
        <v>6</v>
      </c>
      <c r="F84" s="24">
        <v>91</v>
      </c>
      <c r="G84" s="24">
        <f>SUM(C84:F84)</f>
        <v>1192</v>
      </c>
    </row>
    <row r="85" spans="2:7" x14ac:dyDescent="0.25">
      <c r="B85" s="14" t="s">
        <v>50</v>
      </c>
      <c r="C85" s="24">
        <v>21183.543213000001</v>
      </c>
      <c r="D85" s="24">
        <v>1431</v>
      </c>
      <c r="E85" s="24">
        <v>75</v>
      </c>
      <c r="F85" s="24">
        <v>1684.2907259999999</v>
      </c>
      <c r="G85" s="11">
        <f>SUM(C85:F85)</f>
        <v>24373.833939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171.71450200000001</v>
      </c>
      <c r="D97" s="27">
        <v>0</v>
      </c>
      <c r="E97" s="27">
        <v>0</v>
      </c>
      <c r="F97" s="27">
        <v>76.936276000000007</v>
      </c>
      <c r="G97" s="11">
        <f>SUM(C97:F97)</f>
        <v>248.650778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v>113</v>
      </c>
      <c r="E102" s="19">
        <f>+E84</f>
        <v>6</v>
      </c>
      <c r="F102" s="19">
        <f>+F96+F84</f>
        <v>97</v>
      </c>
      <c r="G102" s="19">
        <f>SUM(C102:F102)</f>
        <v>1208</v>
      </c>
    </row>
    <row r="103" spans="2:8" x14ac:dyDescent="0.25">
      <c r="B103" s="18" t="s">
        <v>50</v>
      </c>
      <c r="C103" s="19">
        <f>+C97+C85</f>
        <v>21355.257715</v>
      </c>
      <c r="D103" s="19">
        <v>1431</v>
      </c>
      <c r="E103" s="19">
        <f>+E85</f>
        <v>75</v>
      </c>
      <c r="F103" s="19">
        <f>+F85+F97</f>
        <v>1761.2270019999999</v>
      </c>
      <c r="G103" s="22">
        <f>SUM(C103:F103)</f>
        <v>24622.484716999999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2.8279154949307475</v>
      </c>
      <c r="D107" s="13">
        <v>2.5499999999999998</v>
      </c>
      <c r="E107" s="13">
        <v>2.5664218455743879</v>
      </c>
      <c r="F107" s="13">
        <v>2.54</v>
      </c>
      <c r="G107" s="13">
        <f>AVERAGE(C107:F107)</f>
        <v>2.6210843351262838</v>
      </c>
    </row>
    <row r="108" spans="2:8" x14ac:dyDescent="0.25">
      <c r="B108" s="14" t="s">
        <v>60</v>
      </c>
      <c r="C108" s="13">
        <v>2.242638278527135</v>
      </c>
      <c r="D108" s="13">
        <v>2.59</v>
      </c>
      <c r="E108" s="13">
        <v>2.3597719869706841</v>
      </c>
      <c r="F108" s="13">
        <v>2.58</v>
      </c>
      <c r="G108" s="13">
        <f>AVERAGE(C108:F108)</f>
        <v>2.4431025663744546</v>
      </c>
    </row>
    <row r="109" spans="2:8" x14ac:dyDescent="0.25">
      <c r="B109" s="14" t="s">
        <v>61</v>
      </c>
      <c r="C109" s="13">
        <v>2.0343196252295153</v>
      </c>
      <c r="D109" s="13">
        <v>2.59</v>
      </c>
      <c r="E109" s="13">
        <v>2.1223931623931627</v>
      </c>
      <c r="F109" s="13">
        <v>2.58</v>
      </c>
      <c r="G109" s="13">
        <f>AVERAGE(C109:F109)</f>
        <v>2.3316781969056697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13">
        <v>1.08</v>
      </c>
      <c r="F111" s="13">
        <v>1.8</v>
      </c>
      <c r="G111" s="13">
        <f>AVERAGE(C111:F111)</f>
        <v>1.7075</v>
      </c>
    </row>
    <row r="112" spans="2:8" x14ac:dyDescent="0.25">
      <c r="B112" s="14" t="s">
        <v>60</v>
      </c>
      <c r="C112" s="13">
        <v>1.99</v>
      </c>
      <c r="D112" s="13">
        <v>2.14</v>
      </c>
      <c r="E112" s="13">
        <v>1.83</v>
      </c>
      <c r="F112" s="13">
        <v>2.13</v>
      </c>
      <c r="G112" s="13">
        <f>AVERAGE(C112:F112)</f>
        <v>2.0225</v>
      </c>
    </row>
    <row r="113" spans="2:9" x14ac:dyDescent="0.25">
      <c r="B113" s="14" t="s">
        <v>61</v>
      </c>
      <c r="C113" s="13">
        <v>1.9882224645583462</v>
      </c>
      <c r="D113" s="13">
        <v>2.14</v>
      </c>
      <c r="E113" s="13">
        <v>1.66</v>
      </c>
      <c r="F113" s="13">
        <v>2.13</v>
      </c>
      <c r="G113" s="13">
        <f>AVERAGE(C113:F113)</f>
        <v>1.9795556161395866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1.49157720344599</v>
      </c>
      <c r="D116" s="13">
        <v>1.79</v>
      </c>
      <c r="E116" s="13">
        <v>1.4052112676056339</v>
      </c>
      <c r="F116" s="13">
        <v>1.78</v>
      </c>
      <c r="G116" s="13">
        <f>AVERAGE(C116:F116)</f>
        <v>1.6166971177629061</v>
      </c>
    </row>
    <row r="117" spans="2:9" x14ac:dyDescent="0.25">
      <c r="B117" s="14" t="s">
        <v>60</v>
      </c>
      <c r="C117" s="13">
        <v>1.7561593172119778</v>
      </c>
      <c r="D117" s="13">
        <v>1.79</v>
      </c>
      <c r="E117" s="13">
        <v>1.6152054794520549</v>
      </c>
      <c r="F117" s="13">
        <v>1.78</v>
      </c>
      <c r="G117" s="13">
        <f>AVERAGE(C117:F117)</f>
        <v>1.7353411991660084</v>
      </c>
    </row>
    <row r="118" spans="2:9" x14ac:dyDescent="0.25">
      <c r="B118" s="14" t="s">
        <v>61</v>
      </c>
      <c r="C118" s="13">
        <v>1.7161240721102811</v>
      </c>
      <c r="D118" s="13">
        <v>1.74</v>
      </c>
      <c r="E118" s="13">
        <v>1.8378884336589976</v>
      </c>
      <c r="F118" s="13">
        <v>1.74</v>
      </c>
      <c r="G118" s="13">
        <f>AVERAGE(C118:F118)</f>
        <v>1.7585031264423199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13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1.28</v>
      </c>
      <c r="F122" s="13">
        <v>1.43</v>
      </c>
      <c r="G122" s="13">
        <f>AVERAGE(C122:F122)</f>
        <v>1.3924999999999998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2</v>
      </c>
      <c r="D127" s="11">
        <v>2.099383</v>
      </c>
      <c r="E127" s="13">
        <v>2.2790958725288739</v>
      </c>
      <c r="F127" s="11">
        <v>0</v>
      </c>
      <c r="G127" s="11">
        <f>AVERAGE(C127:E127)</f>
        <v>2.126159624176291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238287</v>
      </c>
      <c r="D130" s="27">
        <v>3447</v>
      </c>
      <c r="E130" s="27">
        <v>8105</v>
      </c>
      <c r="F130" s="27">
        <v>766</v>
      </c>
      <c r="G130" s="27">
        <f>SUM(C130:F130)</f>
        <v>250605</v>
      </c>
    </row>
    <row r="131" spans="2:9" x14ac:dyDescent="0.25">
      <c r="B131" s="14" t="s">
        <v>71</v>
      </c>
      <c r="C131" s="27">
        <v>160504.70745799999</v>
      </c>
      <c r="D131" s="27">
        <v>3937</v>
      </c>
      <c r="E131" s="27">
        <v>1020</v>
      </c>
      <c r="F131" s="27">
        <v>793.28184799999997</v>
      </c>
      <c r="G131" s="11">
        <f>SUM(C131:F131)</f>
        <v>166254.989306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832666</v>
      </c>
      <c r="D134" s="27">
        <v>394721</v>
      </c>
      <c r="E134" s="27">
        <v>146604</v>
      </c>
      <c r="F134" s="27">
        <v>290470</v>
      </c>
      <c r="G134" s="27">
        <f>SUM(C134:F134)</f>
        <v>1664461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14873</v>
      </c>
      <c r="G138" s="27">
        <f>SUM(C138:F138)</f>
        <v>14873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221</v>
      </c>
      <c r="G139" s="27">
        <f>SUM(C139:F139)</f>
        <v>221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707</v>
      </c>
      <c r="E146" s="27">
        <v>0</v>
      </c>
      <c r="F146" s="1">
        <v>631</v>
      </c>
      <c r="G146" s="27">
        <f>SUM(C146:F146)</f>
        <v>1338</v>
      </c>
    </row>
    <row r="147" spans="2:8" x14ac:dyDescent="0.25">
      <c r="B147" s="14" t="s">
        <v>82</v>
      </c>
      <c r="C147" s="27">
        <v>0</v>
      </c>
      <c r="D147" s="27">
        <v>15.504</v>
      </c>
      <c r="E147" s="27">
        <v>0</v>
      </c>
      <c r="F147" s="29">
        <v>6.5577500000000004</v>
      </c>
      <c r="G147" s="11">
        <f>SUM(C147:F147)</f>
        <v>22.06175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168</v>
      </c>
      <c r="E154" s="27">
        <v>21</v>
      </c>
      <c r="F154" s="27">
        <v>0</v>
      </c>
      <c r="G154" s="27">
        <f>SUM(C154:F154)</f>
        <v>189</v>
      </c>
      <c r="H154"/>
    </row>
    <row r="155" spans="2:8" x14ac:dyDescent="0.25">
      <c r="B155" s="14" t="s">
        <v>88</v>
      </c>
      <c r="C155" s="27">
        <v>0</v>
      </c>
      <c r="D155" s="27">
        <v>2.15</v>
      </c>
      <c r="E155" s="27">
        <v>1</v>
      </c>
      <c r="F155" s="27">
        <v>0</v>
      </c>
      <c r="G155" s="11">
        <f>SUM(C155:F155)</f>
        <v>3.15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v>875</v>
      </c>
      <c r="E158" s="19">
        <v>21</v>
      </c>
      <c r="F158" s="19">
        <f>F146+F154</f>
        <v>631</v>
      </c>
      <c r="G158" s="19">
        <f>SUM(C158:F158)</f>
        <v>1527</v>
      </c>
    </row>
    <row r="159" spans="2:8" x14ac:dyDescent="0.25">
      <c r="B159" s="18" t="s">
        <v>91</v>
      </c>
      <c r="C159" s="19">
        <v>0</v>
      </c>
      <c r="D159" s="19">
        <v>17.654</v>
      </c>
      <c r="E159" s="19">
        <v>1</v>
      </c>
      <c r="F159" s="19">
        <f>F147+F155</f>
        <v>6.5577500000000004</v>
      </c>
      <c r="G159" s="22">
        <f>SUM(C159:F159)</f>
        <v>25.211750000000002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2601</v>
      </c>
      <c r="D162" s="27">
        <v>39641</v>
      </c>
      <c r="E162" s="27">
        <v>4820</v>
      </c>
      <c r="F162" s="27">
        <v>25306</v>
      </c>
      <c r="G162" s="27">
        <f>SUM(C162:F162)</f>
        <v>72368</v>
      </c>
    </row>
    <row r="163" spans="2:8" x14ac:dyDescent="0.25">
      <c r="B163" s="14" t="s">
        <v>88</v>
      </c>
      <c r="C163" s="27">
        <f>62744555/1000000</f>
        <v>62.744554999999998</v>
      </c>
      <c r="D163" s="27">
        <v>104.82414800000001</v>
      </c>
      <c r="E163" s="27">
        <v>75.656784999999999</v>
      </c>
      <c r="F163" s="27">
        <v>158.701223</v>
      </c>
      <c r="G163" s="11">
        <f>SUM(C163:F163)</f>
        <v>401.92671099999995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535</v>
      </c>
      <c r="D167" s="27">
        <v>3629</v>
      </c>
      <c r="E167" s="27">
        <v>50</v>
      </c>
      <c r="F167" s="27">
        <v>469</v>
      </c>
      <c r="G167" s="27">
        <f>SUM(C167:F167)</f>
        <v>4683</v>
      </c>
    </row>
    <row r="168" spans="2:8" x14ac:dyDescent="0.25">
      <c r="B168" s="14" t="s">
        <v>96</v>
      </c>
      <c r="C168" s="27">
        <f>18725000/1000000</f>
        <v>18.725000000000001</v>
      </c>
      <c r="D168" s="27">
        <v>91.406486000000001</v>
      </c>
      <c r="E168" s="14">
        <v>2.2000000000000002</v>
      </c>
      <c r="F168" s="27">
        <v>16.920000000000002</v>
      </c>
      <c r="G168" s="11">
        <f>SUM(C168:F168)</f>
        <v>129.251486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1838</v>
      </c>
      <c r="D171" s="27">
        <v>426</v>
      </c>
      <c r="E171" s="27">
        <v>106</v>
      </c>
      <c r="F171" s="27">
        <v>389</v>
      </c>
      <c r="G171" s="27">
        <f>SUM(C171:F171)</f>
        <v>2759</v>
      </c>
    </row>
    <row r="172" spans="2:8" x14ac:dyDescent="0.25">
      <c r="B172" s="14" t="s">
        <v>96</v>
      </c>
      <c r="C172" s="27">
        <f>64330000/1000000</f>
        <v>64.33</v>
      </c>
      <c r="D172" s="27">
        <v>8.9459999999999997</v>
      </c>
      <c r="E172" s="14">
        <v>2.7</v>
      </c>
      <c r="F172" s="27">
        <v>8.5020000000000007</v>
      </c>
      <c r="G172" s="11">
        <f>SUM(C172:F172)</f>
        <v>84.477999999999994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239</v>
      </c>
      <c r="D175" s="27">
        <v>317</v>
      </c>
      <c r="E175" s="14">
        <v>182</v>
      </c>
      <c r="F175" s="27">
        <v>40</v>
      </c>
      <c r="G175" s="27">
        <f>SUM(C175:F175)</f>
        <v>778</v>
      </c>
    </row>
    <row r="176" spans="2:8" x14ac:dyDescent="0.25">
      <c r="B176" s="14" t="s">
        <v>96</v>
      </c>
      <c r="C176" s="27">
        <f>24710000/1000000</f>
        <v>24.71</v>
      </c>
      <c r="D176" s="27">
        <v>33.51</v>
      </c>
      <c r="E176" s="60">
        <v>10.41</v>
      </c>
      <c r="F176" s="27">
        <v>3.92</v>
      </c>
      <c r="G176" s="11">
        <f>SUM(C176:F176)</f>
        <v>72.55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270</v>
      </c>
      <c r="D179" s="27">
        <v>185840</v>
      </c>
      <c r="E179" s="27">
        <v>0</v>
      </c>
      <c r="F179" s="27">
        <v>0</v>
      </c>
      <c r="G179" s="27">
        <f>SUM(C179:F179)</f>
        <v>186110</v>
      </c>
    </row>
    <row r="180" spans="2:8" x14ac:dyDescent="0.25">
      <c r="B180" s="14" t="s">
        <v>96</v>
      </c>
      <c r="C180" s="27">
        <f>10945000/1000000</f>
        <v>10.945</v>
      </c>
      <c r="D180" s="27">
        <v>3762.0575645183799</v>
      </c>
      <c r="E180" s="27">
        <v>0</v>
      </c>
      <c r="F180" s="27">
        <v>0</v>
      </c>
      <c r="G180" s="11">
        <f>SUM(C180:F180)</f>
        <v>3773.00256451838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2882</v>
      </c>
      <c r="D183" s="19">
        <v>190212</v>
      </c>
      <c r="E183" s="19">
        <f>E167+E171+E175+E179</f>
        <v>338</v>
      </c>
      <c r="F183" s="19">
        <f>+F179+F175+F171+F167</f>
        <v>898</v>
      </c>
      <c r="G183" s="19">
        <f>SUM(C183:F183)</f>
        <v>194330</v>
      </c>
    </row>
    <row r="184" spans="2:8" x14ac:dyDescent="0.25">
      <c r="B184" s="18" t="s">
        <v>103</v>
      </c>
      <c r="C184" s="19">
        <f>+C180+C176+C172+C168</f>
        <v>118.71000000000001</v>
      </c>
      <c r="D184" s="19">
        <v>3895.9200505183799</v>
      </c>
      <c r="E184" s="19">
        <f>E168+E172+E176+E180</f>
        <v>15.31</v>
      </c>
      <c r="F184" s="19">
        <f>+F180+F176+F172+F168</f>
        <v>29.342000000000002</v>
      </c>
      <c r="G184" s="22">
        <f>SUM(C184:F184)</f>
        <v>4059.2820505183799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1314</v>
      </c>
      <c r="D187" s="27">
        <v>8589</v>
      </c>
      <c r="E187" s="27">
        <v>56</v>
      </c>
      <c r="F187" s="27">
        <f>F166+F171+F175+F179+F162</f>
        <v>25735</v>
      </c>
      <c r="G187" s="27">
        <f>SUM(C187:F187)</f>
        <v>35694</v>
      </c>
    </row>
    <row r="188" spans="2:8" x14ac:dyDescent="0.25">
      <c r="B188" s="14" t="s">
        <v>106</v>
      </c>
      <c r="C188" s="27">
        <f>15231165/1000000</f>
        <v>15.231165000000001</v>
      </c>
      <c r="D188" s="27">
        <v>367.21933499999994</v>
      </c>
      <c r="E188" s="11">
        <v>2.21</v>
      </c>
      <c r="F188" s="27">
        <f>F167+F172+F176+F180+F163</f>
        <v>640.12322300000005</v>
      </c>
      <c r="G188" s="11">
        <f>SUM(C188:F188)</f>
        <v>1024.783723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6797</v>
      </c>
      <c r="D191" s="19">
        <v>239317</v>
      </c>
      <c r="E191" s="19">
        <f>+E162+E183+E187</f>
        <v>5214</v>
      </c>
      <c r="F191" s="19">
        <f>F158+F162+F183+F187</f>
        <v>52570</v>
      </c>
      <c r="G191" s="19">
        <f>SUM(C191:F191)</f>
        <v>303898</v>
      </c>
    </row>
    <row r="192" spans="2:8" x14ac:dyDescent="0.25">
      <c r="B192" s="18" t="s">
        <v>109</v>
      </c>
      <c r="C192" s="19">
        <f>C188+C163+C184</f>
        <v>196.68572</v>
      </c>
      <c r="D192" s="19">
        <v>4385.6175335183798</v>
      </c>
      <c r="E192" s="19">
        <v>93.176784999999995</v>
      </c>
      <c r="F192" s="19">
        <f>F159+F184+F163+F188</f>
        <v>834.72419600000012</v>
      </c>
      <c r="G192" s="22">
        <f>SUM(C192:F192)</f>
        <v>5510.20423451838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  <vt:lpstr>Ene-25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2025-03-25T15:55:46Z</dcterms:modified>
  <cp:category/>
  <cp:contentStatus/>
</cp:coreProperties>
</file>