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hque\Desktop\EstadisticasWEB\Carga Estadisticas\"/>
    </mc:Choice>
  </mc:AlternateContent>
  <xr:revisionPtr revIDLastSave="0" documentId="13_ncr:1_{5347E46B-942C-4F84-A831-E74DF7AA9B7B}" xr6:coauthVersionLast="47" xr6:coauthVersionMax="47" xr10:uidLastSave="{00000000-0000-0000-0000-000000000000}"/>
  <bookViews>
    <workbookView xWindow="-120" yWindow="-120" windowWidth="20730" windowHeight="11160" tabRatio="781" firstSheet="2" activeTab="5" xr2:uid="{00000000-000D-0000-FFFF-FFFF00000000}"/>
  </bookViews>
  <sheets>
    <sheet name="Ene-26" sheetId="102" r:id="rId1"/>
    <sheet name="Feb-26" sheetId="103" r:id="rId2"/>
    <sheet name="Mar-26" sheetId="104" r:id="rId3"/>
    <sheet name="Abr-26" sheetId="105" r:id="rId4"/>
    <sheet name="May-26" sheetId="106" r:id="rId5"/>
    <sheet name="Jun-26" sheetId="10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2" i="107" l="1"/>
  <c r="F192" i="106"/>
  <c r="F191" i="107"/>
  <c r="F191" i="106"/>
  <c r="F77" i="107"/>
  <c r="F76" i="107"/>
  <c r="F75" i="107"/>
  <c r="F74" i="107"/>
  <c r="F73" i="107"/>
  <c r="D77" i="107"/>
  <c r="D76" i="107"/>
  <c r="D75" i="107"/>
  <c r="D74" i="107"/>
  <c r="D73" i="107"/>
  <c r="D35" i="107"/>
  <c r="D16" i="107"/>
  <c r="D8" i="107"/>
  <c r="C188" i="107" l="1"/>
  <c r="C180" i="107"/>
  <c r="C176" i="107"/>
  <c r="C172" i="107"/>
  <c r="C168" i="107"/>
  <c r="C163" i="107"/>
  <c r="C77" i="107"/>
  <c r="C76" i="107"/>
  <c r="C74" i="107"/>
  <c r="G74" i="107" s="1"/>
  <c r="C73" i="107"/>
  <c r="G73" i="107" s="1"/>
  <c r="C49" i="107"/>
  <c r="C45" i="107"/>
  <c r="C41" i="107"/>
  <c r="C35" i="107"/>
  <c r="G35" i="107" s="1"/>
  <c r="C14" i="107"/>
  <c r="C16" i="107" s="1"/>
  <c r="G16" i="107" s="1"/>
  <c r="C8" i="107"/>
  <c r="G8" i="107" s="1"/>
  <c r="G188" i="107"/>
  <c r="G187" i="107"/>
  <c r="F184" i="107"/>
  <c r="D184" i="107"/>
  <c r="F183" i="107"/>
  <c r="D183" i="107"/>
  <c r="C183" i="107"/>
  <c r="C191" i="107" s="1"/>
  <c r="C184" i="107"/>
  <c r="C192" i="107" s="1"/>
  <c r="G179" i="107"/>
  <c r="G176" i="107"/>
  <c r="G175" i="107"/>
  <c r="G172" i="107"/>
  <c r="G171" i="107"/>
  <c r="G168" i="107"/>
  <c r="G167" i="107"/>
  <c r="G163" i="107"/>
  <c r="G162" i="107"/>
  <c r="F159" i="107"/>
  <c r="D159" i="107"/>
  <c r="F158" i="107"/>
  <c r="D158" i="107"/>
  <c r="G155" i="107"/>
  <c r="G154" i="107"/>
  <c r="G151" i="107"/>
  <c r="G150" i="107"/>
  <c r="G147" i="107"/>
  <c r="G146" i="107"/>
  <c r="G139" i="107"/>
  <c r="G138" i="107"/>
  <c r="G134" i="107"/>
  <c r="G131" i="107"/>
  <c r="G130" i="107"/>
  <c r="G127" i="107"/>
  <c r="G125" i="107"/>
  <c r="G122" i="107"/>
  <c r="G121" i="107"/>
  <c r="G120" i="107"/>
  <c r="G118" i="107"/>
  <c r="G117" i="107"/>
  <c r="G116" i="107"/>
  <c r="G113" i="107"/>
  <c r="G112" i="107"/>
  <c r="G111" i="107"/>
  <c r="G109" i="107"/>
  <c r="G108" i="107"/>
  <c r="G107" i="107"/>
  <c r="F103" i="107"/>
  <c r="E103" i="107"/>
  <c r="D103" i="107"/>
  <c r="C103" i="107"/>
  <c r="F102" i="107"/>
  <c r="E102" i="107"/>
  <c r="D102" i="107"/>
  <c r="C102" i="107"/>
  <c r="G101" i="107"/>
  <c r="G100" i="107"/>
  <c r="G99" i="107"/>
  <c r="G97" i="107"/>
  <c r="G96" i="107"/>
  <c r="G95" i="107"/>
  <c r="G94" i="107"/>
  <c r="G93" i="107"/>
  <c r="G91" i="107"/>
  <c r="G90" i="107"/>
  <c r="G89" i="107"/>
  <c r="G88" i="107"/>
  <c r="G87" i="107"/>
  <c r="G85" i="107"/>
  <c r="G84" i="107"/>
  <c r="E83" i="107"/>
  <c r="E82" i="107"/>
  <c r="E81" i="107"/>
  <c r="G77" i="107"/>
  <c r="G76" i="107"/>
  <c r="G71" i="107"/>
  <c r="G70" i="107"/>
  <c r="G69" i="107"/>
  <c r="G68" i="107"/>
  <c r="G67" i="107"/>
  <c r="G65" i="107"/>
  <c r="G64" i="107"/>
  <c r="G61" i="107"/>
  <c r="G59" i="107"/>
  <c r="G58" i="107"/>
  <c r="G57" i="107"/>
  <c r="G56" i="107"/>
  <c r="G55" i="107"/>
  <c r="G49" i="107"/>
  <c r="G48" i="107"/>
  <c r="G45" i="107"/>
  <c r="G44" i="107"/>
  <c r="G41" i="107"/>
  <c r="G40" i="107"/>
  <c r="G34" i="107"/>
  <c r="G33" i="107"/>
  <c r="G30" i="107"/>
  <c r="D27" i="107"/>
  <c r="G24" i="107"/>
  <c r="F21" i="107"/>
  <c r="E21" i="107"/>
  <c r="E27" i="107" s="1"/>
  <c r="G19" i="107"/>
  <c r="G15" i="107"/>
  <c r="G14" i="107"/>
  <c r="G13" i="107"/>
  <c r="G12" i="107"/>
  <c r="G7" i="107"/>
  <c r="G6" i="107"/>
  <c r="D35" i="106"/>
  <c r="D16" i="106"/>
  <c r="D8" i="106"/>
  <c r="G159" i="107" l="1"/>
  <c r="D192" i="107"/>
  <c r="G158" i="107"/>
  <c r="D191" i="107"/>
  <c r="F81" i="107"/>
  <c r="G81" i="107" s="1"/>
  <c r="F82" i="107"/>
  <c r="G82" i="107" s="1"/>
  <c r="G102" i="107"/>
  <c r="G103" i="107"/>
  <c r="G183" i="107"/>
  <c r="G75" i="107"/>
  <c r="G184" i="107"/>
  <c r="C21" i="107"/>
  <c r="F83" i="107"/>
  <c r="G83" i="107" s="1"/>
  <c r="G180" i="107"/>
  <c r="F188" i="106"/>
  <c r="F187" i="106"/>
  <c r="C188" i="106"/>
  <c r="C180" i="106"/>
  <c r="C176" i="106"/>
  <c r="C172" i="106"/>
  <c r="C168" i="106"/>
  <c r="C163" i="106"/>
  <c r="C49" i="106"/>
  <c r="C45" i="106"/>
  <c r="C41" i="106"/>
  <c r="C35" i="106"/>
  <c r="G35" i="106" s="1"/>
  <c r="C14" i="106"/>
  <c r="C16" i="106" s="1"/>
  <c r="C8" i="106"/>
  <c r="G188" i="106"/>
  <c r="G187" i="106"/>
  <c r="F184" i="106"/>
  <c r="D184" i="106"/>
  <c r="F183" i="106"/>
  <c r="D183" i="106"/>
  <c r="C183" i="106"/>
  <c r="C191" i="106" s="1"/>
  <c r="C184" i="106"/>
  <c r="G179" i="106"/>
  <c r="G176" i="106"/>
  <c r="G175" i="106"/>
  <c r="G172" i="106"/>
  <c r="G171" i="106"/>
  <c r="G168" i="106"/>
  <c r="G167" i="106"/>
  <c r="G163" i="106"/>
  <c r="G162" i="106"/>
  <c r="F159" i="106"/>
  <c r="D159" i="106"/>
  <c r="F158" i="106"/>
  <c r="D158" i="106"/>
  <c r="G158" i="106" s="1"/>
  <c r="G155" i="106"/>
  <c r="G154" i="106"/>
  <c r="G151" i="106"/>
  <c r="G150" i="106"/>
  <c r="G147" i="106"/>
  <c r="G146" i="106"/>
  <c r="G139" i="106"/>
  <c r="G138" i="106"/>
  <c r="G134" i="106"/>
  <c r="G131" i="106"/>
  <c r="G130" i="106"/>
  <c r="G127" i="106"/>
  <c r="G125" i="106"/>
  <c r="G122" i="106"/>
  <c r="G121" i="106"/>
  <c r="G120" i="106"/>
  <c r="G118" i="106"/>
  <c r="G117" i="106"/>
  <c r="G116" i="106"/>
  <c r="G113" i="106"/>
  <c r="G112" i="106"/>
  <c r="G111" i="106"/>
  <c r="G109" i="106"/>
  <c r="G108" i="106"/>
  <c r="G107" i="106"/>
  <c r="F103" i="106"/>
  <c r="E103" i="106"/>
  <c r="D103" i="106"/>
  <c r="C103" i="106"/>
  <c r="F102" i="106"/>
  <c r="E102" i="106"/>
  <c r="D102" i="106"/>
  <c r="C102" i="106"/>
  <c r="G101" i="106"/>
  <c r="G100" i="106"/>
  <c r="G99" i="106"/>
  <c r="G97" i="106"/>
  <c r="G96" i="106"/>
  <c r="G95" i="106"/>
  <c r="G94" i="106"/>
  <c r="G93" i="106"/>
  <c r="G91" i="106"/>
  <c r="G90" i="106"/>
  <c r="G89" i="106"/>
  <c r="G88" i="106"/>
  <c r="G87" i="106"/>
  <c r="G85" i="106"/>
  <c r="G84" i="106"/>
  <c r="F83" i="106"/>
  <c r="E83" i="106"/>
  <c r="G83" i="106" s="1"/>
  <c r="E82" i="106"/>
  <c r="E81" i="106"/>
  <c r="F81" i="106" s="1"/>
  <c r="G81" i="106" s="1"/>
  <c r="F77" i="106"/>
  <c r="D77" i="106"/>
  <c r="C77" i="106"/>
  <c r="F76" i="106"/>
  <c r="D76" i="106"/>
  <c r="C76" i="106"/>
  <c r="F75" i="106"/>
  <c r="D75" i="106"/>
  <c r="F74" i="106"/>
  <c r="D74" i="106"/>
  <c r="C74" i="106"/>
  <c r="F73" i="106"/>
  <c r="D73" i="106"/>
  <c r="C73" i="106"/>
  <c r="G71" i="106"/>
  <c r="G70" i="106"/>
  <c r="G69" i="106"/>
  <c r="G68" i="106"/>
  <c r="G67" i="106"/>
  <c r="G65" i="106"/>
  <c r="G64" i="106"/>
  <c r="G61" i="106"/>
  <c r="G59" i="106"/>
  <c r="G58" i="106"/>
  <c r="G57" i="106"/>
  <c r="G56" i="106"/>
  <c r="G55" i="106"/>
  <c r="G49" i="106"/>
  <c r="G48" i="106"/>
  <c r="G45" i="106"/>
  <c r="G44" i="106"/>
  <c r="G41" i="106"/>
  <c r="G40" i="106"/>
  <c r="G34" i="106"/>
  <c r="G33" i="106"/>
  <c r="G30" i="106"/>
  <c r="D27" i="106"/>
  <c r="G24" i="106"/>
  <c r="F21" i="106"/>
  <c r="E21" i="106"/>
  <c r="E27" i="106" s="1"/>
  <c r="G19" i="106"/>
  <c r="G15" i="106"/>
  <c r="G14" i="106"/>
  <c r="G13" i="106"/>
  <c r="G12" i="106"/>
  <c r="G7" i="106"/>
  <c r="G6" i="106"/>
  <c r="D35" i="105"/>
  <c r="D16" i="105"/>
  <c r="D8" i="105"/>
  <c r="G192" i="107" l="1"/>
  <c r="G191" i="107"/>
  <c r="G21" i="107"/>
  <c r="C27" i="107"/>
  <c r="G27" i="107" s="1"/>
  <c r="D192" i="106"/>
  <c r="G77" i="106"/>
  <c r="G75" i="106"/>
  <c r="G16" i="106"/>
  <c r="G184" i="106"/>
  <c r="G159" i="106"/>
  <c r="D191" i="106"/>
  <c r="G102" i="106"/>
  <c r="G103" i="106"/>
  <c r="G76" i="106"/>
  <c r="G74" i="106"/>
  <c r="G73" i="106"/>
  <c r="G8" i="106"/>
  <c r="G180" i="106"/>
  <c r="G183" i="106"/>
  <c r="C192" i="106"/>
  <c r="F82" i="106"/>
  <c r="G82" i="106" s="1"/>
  <c r="C21" i="106"/>
  <c r="C188" i="105"/>
  <c r="C180" i="105"/>
  <c r="C176" i="105"/>
  <c r="C172" i="105"/>
  <c r="C168" i="105"/>
  <c r="C163" i="105"/>
  <c r="C49" i="105"/>
  <c r="C45" i="105"/>
  <c r="C41" i="105"/>
  <c r="C35" i="105"/>
  <c r="C14" i="105"/>
  <c r="C16" i="105" s="1"/>
  <c r="C8" i="105"/>
  <c r="G8" i="105" s="1"/>
  <c r="G188" i="105"/>
  <c r="G187" i="105"/>
  <c r="F184" i="105"/>
  <c r="D184" i="105"/>
  <c r="F183" i="105"/>
  <c r="D183" i="105"/>
  <c r="C183" i="105"/>
  <c r="C191" i="105" s="1"/>
  <c r="C184" i="105"/>
  <c r="G179" i="105"/>
  <c r="G176" i="105"/>
  <c r="G175" i="105"/>
  <c r="G172" i="105"/>
  <c r="G171" i="105"/>
  <c r="G168" i="105"/>
  <c r="G167" i="105"/>
  <c r="C192" i="105"/>
  <c r="G162" i="105"/>
  <c r="F159" i="105"/>
  <c r="D159" i="105"/>
  <c r="G159" i="105" s="1"/>
  <c r="F158" i="105"/>
  <c r="D158" i="105"/>
  <c r="G155" i="105"/>
  <c r="G154" i="105"/>
  <c r="G151" i="105"/>
  <c r="G150" i="105"/>
  <c r="G147" i="105"/>
  <c r="G146" i="105"/>
  <c r="G139" i="105"/>
  <c r="G138" i="105"/>
  <c r="G134" i="105"/>
  <c r="G131" i="105"/>
  <c r="G130" i="105"/>
  <c r="G127" i="105"/>
  <c r="G125" i="105"/>
  <c r="G122" i="105"/>
  <c r="G121" i="105"/>
  <c r="G120" i="105"/>
  <c r="G118" i="105"/>
  <c r="G117" i="105"/>
  <c r="G116" i="105"/>
  <c r="G113" i="105"/>
  <c r="G112" i="105"/>
  <c r="G111" i="105"/>
  <c r="G109" i="105"/>
  <c r="G108" i="105"/>
  <c r="G107" i="105"/>
  <c r="F103" i="105"/>
  <c r="E103" i="105"/>
  <c r="D103" i="105"/>
  <c r="C103" i="105"/>
  <c r="F102" i="105"/>
  <c r="E102" i="105"/>
  <c r="D102" i="105"/>
  <c r="C102" i="105"/>
  <c r="G101" i="105"/>
  <c r="G100" i="105"/>
  <c r="G99" i="105"/>
  <c r="G97" i="105"/>
  <c r="G96" i="105"/>
  <c r="G95" i="105"/>
  <c r="G94" i="105"/>
  <c r="G93" i="105"/>
  <c r="G91" i="105"/>
  <c r="G90" i="105"/>
  <c r="G89" i="105"/>
  <c r="G88" i="105"/>
  <c r="G87" i="105"/>
  <c r="G85" i="105"/>
  <c r="G84" i="105"/>
  <c r="E83" i="105"/>
  <c r="E82" i="105"/>
  <c r="E81" i="105"/>
  <c r="F81" i="105" s="1"/>
  <c r="G81" i="105" s="1"/>
  <c r="F77" i="105"/>
  <c r="D77" i="105"/>
  <c r="C77" i="105"/>
  <c r="F76" i="105"/>
  <c r="D76" i="105"/>
  <c r="C76" i="105"/>
  <c r="F75" i="105"/>
  <c r="D75" i="105"/>
  <c r="F74" i="105"/>
  <c r="D74" i="105"/>
  <c r="C74" i="105"/>
  <c r="F73" i="105"/>
  <c r="D73" i="105"/>
  <c r="C73" i="105"/>
  <c r="G71" i="105"/>
  <c r="G70" i="105"/>
  <c r="G69" i="105"/>
  <c r="G68" i="105"/>
  <c r="G67" i="105"/>
  <c r="G65" i="105"/>
  <c r="G64" i="105"/>
  <c r="G61" i="105"/>
  <c r="G59" i="105"/>
  <c r="G58" i="105"/>
  <c r="G57" i="105"/>
  <c r="G56" i="105"/>
  <c r="G55" i="105"/>
  <c r="G49" i="105"/>
  <c r="G48" i="105"/>
  <c r="G45" i="105"/>
  <c r="G44" i="105"/>
  <c r="G41" i="105"/>
  <c r="G40" i="105"/>
  <c r="G35" i="105"/>
  <c r="G34" i="105"/>
  <c r="G33" i="105"/>
  <c r="G30" i="105"/>
  <c r="D27" i="105"/>
  <c r="G24" i="105"/>
  <c r="F21" i="105"/>
  <c r="E21" i="105"/>
  <c r="E27" i="105" s="1"/>
  <c r="G19" i="105"/>
  <c r="G15" i="105"/>
  <c r="G14" i="105"/>
  <c r="G13" i="105"/>
  <c r="G12" i="105"/>
  <c r="G7" i="105"/>
  <c r="G6" i="105"/>
  <c r="F159" i="104"/>
  <c r="F158" i="104"/>
  <c r="D103" i="104"/>
  <c r="D102" i="104"/>
  <c r="D35" i="104"/>
  <c r="D16" i="104"/>
  <c r="D8" i="104"/>
  <c r="G192" i="106" l="1"/>
  <c r="G191" i="106"/>
  <c r="C27" i="106"/>
  <c r="G27" i="106" s="1"/>
  <c r="G21" i="106"/>
  <c r="F191" i="105"/>
  <c r="F83" i="105"/>
  <c r="G83" i="105" s="1"/>
  <c r="G158" i="105"/>
  <c r="G75" i="105"/>
  <c r="G77" i="105"/>
  <c r="C21" i="105"/>
  <c r="C27" i="105" s="1"/>
  <c r="G27" i="105" s="1"/>
  <c r="G16" i="105"/>
  <c r="G184" i="105"/>
  <c r="F192" i="105"/>
  <c r="G183" i="105"/>
  <c r="D191" i="105"/>
  <c r="G191" i="105" s="1"/>
  <c r="D192" i="105"/>
  <c r="G102" i="105"/>
  <c r="G103" i="105"/>
  <c r="G76" i="105"/>
  <c r="G73" i="105"/>
  <c r="G74" i="105"/>
  <c r="G82" i="105"/>
  <c r="G163" i="105"/>
  <c r="G180" i="105"/>
  <c r="F82" i="105"/>
  <c r="C188" i="104"/>
  <c r="C180" i="104"/>
  <c r="C176" i="104"/>
  <c r="C172" i="104"/>
  <c r="C168" i="104"/>
  <c r="C163" i="104"/>
  <c r="C49" i="104"/>
  <c r="C45" i="104"/>
  <c r="C41" i="104"/>
  <c r="C35" i="104"/>
  <c r="C14" i="104"/>
  <c r="C16" i="104" s="1"/>
  <c r="G16" i="104" s="1"/>
  <c r="C8" i="104"/>
  <c r="G188" i="104"/>
  <c r="G187" i="104"/>
  <c r="F184" i="104"/>
  <c r="F192" i="104" s="1"/>
  <c r="D184" i="104"/>
  <c r="F183" i="104"/>
  <c r="D183" i="104"/>
  <c r="C183" i="104"/>
  <c r="C191" i="104" s="1"/>
  <c r="G180" i="104"/>
  <c r="G179" i="104"/>
  <c r="G176" i="104"/>
  <c r="C184" i="104"/>
  <c r="G175" i="104"/>
  <c r="G172" i="104"/>
  <c r="G171" i="104"/>
  <c r="G168" i="104"/>
  <c r="G167" i="104"/>
  <c r="G163" i="104"/>
  <c r="G162" i="104"/>
  <c r="D159" i="104"/>
  <c r="F191" i="104"/>
  <c r="D158" i="104"/>
  <c r="G158" i="104" s="1"/>
  <c r="G155" i="104"/>
  <c r="G154" i="104"/>
  <c r="G151" i="104"/>
  <c r="G150" i="104"/>
  <c r="G147" i="104"/>
  <c r="G146" i="104"/>
  <c r="G139" i="104"/>
  <c r="G138" i="104"/>
  <c r="G134" i="104"/>
  <c r="G131" i="104"/>
  <c r="G130" i="104"/>
  <c r="G127" i="104"/>
  <c r="G125" i="104"/>
  <c r="G122" i="104"/>
  <c r="G121" i="104"/>
  <c r="G120" i="104"/>
  <c r="G118" i="104"/>
  <c r="G117" i="104"/>
  <c r="G116" i="104"/>
  <c r="G113" i="104"/>
  <c r="G112" i="104"/>
  <c r="G111" i="104"/>
  <c r="G109" i="104"/>
  <c r="G108" i="104"/>
  <c r="G107" i="104"/>
  <c r="F103" i="104"/>
  <c r="E103" i="104"/>
  <c r="C103" i="104"/>
  <c r="F102" i="104"/>
  <c r="E102" i="104"/>
  <c r="C102" i="104"/>
  <c r="G101" i="104"/>
  <c r="G100" i="104"/>
  <c r="G99" i="104"/>
  <c r="G97" i="104"/>
  <c r="G96" i="104"/>
  <c r="G95" i="104"/>
  <c r="G94" i="104"/>
  <c r="G93" i="104"/>
  <c r="G91" i="104"/>
  <c r="G90" i="104"/>
  <c r="G89" i="104"/>
  <c r="G88" i="104"/>
  <c r="G87" i="104"/>
  <c r="G85" i="104"/>
  <c r="G84" i="104"/>
  <c r="E83" i="104"/>
  <c r="E82" i="104"/>
  <c r="E81" i="104"/>
  <c r="F81" i="104" s="1"/>
  <c r="G81" i="104" s="1"/>
  <c r="F77" i="104"/>
  <c r="D77" i="104"/>
  <c r="C77" i="104"/>
  <c r="F76" i="104"/>
  <c r="D76" i="104"/>
  <c r="C76" i="104"/>
  <c r="F75" i="104"/>
  <c r="D75" i="104"/>
  <c r="F74" i="104"/>
  <c r="D74" i="104"/>
  <c r="C74" i="104"/>
  <c r="F73" i="104"/>
  <c r="D73" i="104"/>
  <c r="C73" i="104"/>
  <c r="G71" i="104"/>
  <c r="G70" i="104"/>
  <c r="G69" i="104"/>
  <c r="G68" i="104"/>
  <c r="G67" i="104"/>
  <c r="G65" i="104"/>
  <c r="G64" i="104"/>
  <c r="G61" i="104"/>
  <c r="G59" i="104"/>
  <c r="G58" i="104"/>
  <c r="G57" i="104"/>
  <c r="G56" i="104"/>
  <c r="G55" i="104"/>
  <c r="G49" i="104"/>
  <c r="G48" i="104"/>
  <c r="G45" i="104"/>
  <c r="G44" i="104"/>
  <c r="G41" i="104"/>
  <c r="G40" i="104"/>
  <c r="G35" i="104"/>
  <c r="G34" i="104"/>
  <c r="G33" i="104"/>
  <c r="G30" i="104"/>
  <c r="D27" i="104"/>
  <c r="G24" i="104"/>
  <c r="F21" i="104"/>
  <c r="E21" i="104"/>
  <c r="E27" i="104" s="1"/>
  <c r="G19" i="104"/>
  <c r="G15" i="104"/>
  <c r="G13" i="104"/>
  <c r="G12" i="104"/>
  <c r="G8" i="104"/>
  <c r="G7" i="104"/>
  <c r="G6" i="104"/>
  <c r="E83" i="103"/>
  <c r="F83" i="103" s="1"/>
  <c r="E82" i="103"/>
  <c r="F82" i="103" s="1"/>
  <c r="E81" i="103"/>
  <c r="F81" i="103" s="1"/>
  <c r="G21" i="105" l="1"/>
  <c r="G192" i="105"/>
  <c r="G14" i="104"/>
  <c r="C21" i="104"/>
  <c r="C27" i="104" s="1"/>
  <c r="G27" i="104" s="1"/>
  <c r="G184" i="104"/>
  <c r="D192" i="104"/>
  <c r="D191" i="104"/>
  <c r="G191" i="104" s="1"/>
  <c r="G102" i="104"/>
  <c r="G103" i="104"/>
  <c r="G75" i="104"/>
  <c r="G77" i="104"/>
  <c r="G74" i="104"/>
  <c r="G73" i="104"/>
  <c r="G76" i="104"/>
  <c r="G82" i="104"/>
  <c r="F83" i="104"/>
  <c r="G83" i="104" s="1"/>
  <c r="G183" i="104"/>
  <c r="C192" i="104"/>
  <c r="F82" i="104"/>
  <c r="G159" i="104"/>
  <c r="D35" i="103"/>
  <c r="D16" i="103"/>
  <c r="D8" i="103"/>
  <c r="G192" i="104" l="1"/>
  <c r="G21" i="104"/>
  <c r="C188" i="103"/>
  <c r="C180" i="103"/>
  <c r="G180" i="103" s="1"/>
  <c r="C176" i="103"/>
  <c r="C172" i="103"/>
  <c r="C168" i="103"/>
  <c r="C163" i="103"/>
  <c r="C49" i="103"/>
  <c r="C45" i="103"/>
  <c r="C41" i="103"/>
  <c r="C35" i="103"/>
  <c r="C14" i="103"/>
  <c r="C16" i="103" s="1"/>
  <c r="G16" i="103" s="1"/>
  <c r="C8" i="103"/>
  <c r="G187" i="103"/>
  <c r="F184" i="103"/>
  <c r="D184" i="103"/>
  <c r="F183" i="103"/>
  <c r="D183" i="103"/>
  <c r="C183" i="103"/>
  <c r="G179" i="103"/>
  <c r="G176" i="103"/>
  <c r="G175" i="103"/>
  <c r="C184" i="103"/>
  <c r="G171" i="103"/>
  <c r="G168" i="103"/>
  <c r="G167" i="103"/>
  <c r="G163" i="103"/>
  <c r="G162" i="103"/>
  <c r="F159" i="103"/>
  <c r="D159" i="103"/>
  <c r="F158" i="103"/>
  <c r="D158" i="103"/>
  <c r="G155" i="103"/>
  <c r="G154" i="103"/>
  <c r="G151" i="103"/>
  <c r="G150" i="103"/>
  <c r="G147" i="103"/>
  <c r="G146" i="103"/>
  <c r="G139" i="103"/>
  <c r="G138" i="103"/>
  <c r="G134" i="103"/>
  <c r="G131" i="103"/>
  <c r="G130" i="103"/>
  <c r="G127" i="103"/>
  <c r="G125" i="103"/>
  <c r="G122" i="103"/>
  <c r="G121" i="103"/>
  <c r="G120" i="103"/>
  <c r="G118" i="103"/>
  <c r="G117" i="103"/>
  <c r="G116" i="103"/>
  <c r="G113" i="103"/>
  <c r="G112" i="103"/>
  <c r="G111" i="103"/>
  <c r="G109" i="103"/>
  <c r="G108" i="103"/>
  <c r="G107" i="103"/>
  <c r="F103" i="103"/>
  <c r="E103" i="103"/>
  <c r="D103" i="103"/>
  <c r="C103" i="103"/>
  <c r="F102" i="103"/>
  <c r="E102" i="103"/>
  <c r="D102" i="103"/>
  <c r="C102" i="103"/>
  <c r="G101" i="103"/>
  <c r="G100" i="103"/>
  <c r="G99" i="103"/>
  <c r="G97" i="103"/>
  <c r="G96" i="103"/>
  <c r="G95" i="103"/>
  <c r="G94" i="103"/>
  <c r="G93" i="103"/>
  <c r="G91" i="103"/>
  <c r="G90" i="103"/>
  <c r="G89" i="103"/>
  <c r="G88" i="103"/>
  <c r="G87" i="103"/>
  <c r="G85" i="103"/>
  <c r="G84" i="103"/>
  <c r="G83" i="103"/>
  <c r="G82" i="103"/>
  <c r="G81" i="103"/>
  <c r="F77" i="103"/>
  <c r="D77" i="103"/>
  <c r="C77" i="103"/>
  <c r="F76" i="103"/>
  <c r="D76" i="103"/>
  <c r="C76" i="103"/>
  <c r="F75" i="103"/>
  <c r="D75" i="103"/>
  <c r="G75" i="103" s="1"/>
  <c r="F74" i="103"/>
  <c r="D74" i="103"/>
  <c r="C74" i="103"/>
  <c r="F73" i="103"/>
  <c r="D73" i="103"/>
  <c r="C73" i="103"/>
  <c r="G71" i="103"/>
  <c r="G70" i="103"/>
  <c r="G69" i="103"/>
  <c r="G68" i="103"/>
  <c r="G67" i="103"/>
  <c r="G65" i="103"/>
  <c r="G64" i="103"/>
  <c r="G61" i="103"/>
  <c r="G59" i="103"/>
  <c r="G58" i="103"/>
  <c r="G57" i="103"/>
  <c r="G56" i="103"/>
  <c r="G55" i="103"/>
  <c r="G49" i="103"/>
  <c r="G48" i="103"/>
  <c r="G45" i="103"/>
  <c r="G44" i="103"/>
  <c r="G41" i="103"/>
  <c r="G40" i="103"/>
  <c r="G34" i="103"/>
  <c r="G33" i="103"/>
  <c r="G30" i="103"/>
  <c r="D27" i="103"/>
  <c r="G24" i="103"/>
  <c r="F21" i="103"/>
  <c r="E21" i="103"/>
  <c r="E27" i="103" s="1"/>
  <c r="G19" i="103"/>
  <c r="G15" i="103"/>
  <c r="G13" i="103"/>
  <c r="G12" i="103"/>
  <c r="G7" i="103"/>
  <c r="G6" i="103"/>
  <c r="F188" i="102"/>
  <c r="F187" i="102"/>
  <c r="F77" i="102"/>
  <c r="F76" i="102"/>
  <c r="F75" i="102"/>
  <c r="F74" i="102"/>
  <c r="F73" i="102"/>
  <c r="F21" i="102"/>
  <c r="E21" i="102"/>
  <c r="E27" i="102" s="1"/>
  <c r="G14" i="103" l="1"/>
  <c r="F191" i="103"/>
  <c r="G183" i="103"/>
  <c r="G73" i="103"/>
  <c r="G76" i="103"/>
  <c r="G158" i="103"/>
  <c r="C21" i="103"/>
  <c r="C27" i="103" s="1"/>
  <c r="G27" i="103" s="1"/>
  <c r="G184" i="103"/>
  <c r="G188" i="103"/>
  <c r="F192" i="103"/>
  <c r="G159" i="103"/>
  <c r="D191" i="103"/>
  <c r="D192" i="103"/>
  <c r="G102" i="103"/>
  <c r="G103" i="103"/>
  <c r="G74" i="103"/>
  <c r="G77" i="103"/>
  <c r="G35" i="103"/>
  <c r="G8" i="103"/>
  <c r="G172" i="103"/>
  <c r="C191" i="103"/>
  <c r="C192" i="103"/>
  <c r="D77" i="102"/>
  <c r="D76" i="102"/>
  <c r="D75" i="102"/>
  <c r="D74" i="102"/>
  <c r="D73" i="102"/>
  <c r="D35" i="102"/>
  <c r="D27" i="102"/>
  <c r="D16" i="102"/>
  <c r="D8" i="102"/>
  <c r="G21" i="103" l="1"/>
  <c r="G191" i="103"/>
  <c r="G192" i="103"/>
  <c r="C188" i="102"/>
  <c r="C180" i="102"/>
  <c r="C176" i="102"/>
  <c r="C172" i="102"/>
  <c r="C168" i="102"/>
  <c r="C163" i="102"/>
  <c r="C77" i="102"/>
  <c r="C76" i="102"/>
  <c r="C74" i="102"/>
  <c r="C73" i="102"/>
  <c r="C49" i="102"/>
  <c r="C45" i="102"/>
  <c r="C41" i="102"/>
  <c r="C35" i="102"/>
  <c r="C27" i="102"/>
  <c r="C14" i="102"/>
  <c r="C16" i="102" s="1"/>
  <c r="C8" i="102"/>
  <c r="F159" i="102" l="1"/>
  <c r="F158" i="102"/>
  <c r="E102" i="102"/>
  <c r="E103" i="102"/>
  <c r="D103" i="102" l="1"/>
  <c r="D102" i="102"/>
  <c r="G188" i="102" l="1"/>
  <c r="C184" i="102"/>
  <c r="C103" i="102"/>
  <c r="C102" i="102"/>
  <c r="G77" i="102"/>
  <c r="G76" i="102"/>
  <c r="G49" i="102"/>
  <c r="G35" i="102"/>
  <c r="G187" i="102"/>
  <c r="F184" i="102"/>
  <c r="F192" i="102" s="1"/>
  <c r="D184" i="102"/>
  <c r="D192" i="102" s="1"/>
  <c r="F183" i="102"/>
  <c r="D183" i="102"/>
  <c r="D191" i="102" s="1"/>
  <c r="C183" i="102"/>
  <c r="C191" i="102" s="1"/>
  <c r="G179" i="102"/>
  <c r="G176" i="102"/>
  <c r="G175" i="102"/>
  <c r="G171" i="102"/>
  <c r="G168" i="102"/>
  <c r="G167" i="102"/>
  <c r="G163" i="102"/>
  <c r="G162" i="102"/>
  <c r="D159" i="102"/>
  <c r="D158" i="102"/>
  <c r="G155" i="102"/>
  <c r="G154" i="102"/>
  <c r="G151" i="102"/>
  <c r="G150" i="102"/>
  <c r="G147" i="102"/>
  <c r="G146" i="102"/>
  <c r="G139" i="102"/>
  <c r="G138" i="102"/>
  <c r="G134" i="102"/>
  <c r="G131" i="102"/>
  <c r="G130" i="102"/>
  <c r="G127" i="102"/>
  <c r="G125" i="102"/>
  <c r="G122" i="102"/>
  <c r="G121" i="102"/>
  <c r="G120" i="102"/>
  <c r="G118" i="102"/>
  <c r="G117" i="102"/>
  <c r="G116" i="102"/>
  <c r="G113" i="102"/>
  <c r="G112" i="102"/>
  <c r="G111" i="102"/>
  <c r="G109" i="102"/>
  <c r="G108" i="102"/>
  <c r="G107" i="102"/>
  <c r="F103" i="102"/>
  <c r="F102" i="102"/>
  <c r="G101" i="102"/>
  <c r="G100" i="102"/>
  <c r="G99" i="102"/>
  <c r="G97" i="102"/>
  <c r="G96" i="102"/>
  <c r="G95" i="102"/>
  <c r="G94" i="102"/>
  <c r="G93" i="102"/>
  <c r="G91" i="102"/>
  <c r="G90" i="102"/>
  <c r="G89" i="102"/>
  <c r="G88" i="102"/>
  <c r="G87" i="102"/>
  <c r="G85" i="102"/>
  <c r="G84" i="102"/>
  <c r="G83" i="102"/>
  <c r="G82" i="102"/>
  <c r="G81" i="102"/>
  <c r="G75" i="102"/>
  <c r="G71" i="102"/>
  <c r="G70" i="102"/>
  <c r="G69" i="102"/>
  <c r="G68" i="102"/>
  <c r="G67" i="102"/>
  <c r="G65" i="102"/>
  <c r="G64" i="102"/>
  <c r="G61" i="102"/>
  <c r="G59" i="102"/>
  <c r="G58" i="102"/>
  <c r="G57" i="102"/>
  <c r="G56" i="102"/>
  <c r="G55" i="102"/>
  <c r="G48" i="102"/>
  <c r="G45" i="102"/>
  <c r="G44" i="102"/>
  <c r="G41" i="102"/>
  <c r="G40" i="102"/>
  <c r="G34" i="102"/>
  <c r="G33" i="102"/>
  <c r="G30" i="102"/>
  <c r="G24" i="102"/>
  <c r="G19" i="102"/>
  <c r="G15" i="102"/>
  <c r="G14" i="102"/>
  <c r="G13" i="102"/>
  <c r="G12" i="102"/>
  <c r="G8" i="102"/>
  <c r="G7" i="102"/>
  <c r="G6" i="102"/>
  <c r="G172" i="102" l="1"/>
  <c r="G184" i="102"/>
  <c r="G16" i="102"/>
  <c r="F191" i="102"/>
  <c r="G191" i="102" s="1"/>
  <c r="G158" i="102"/>
  <c r="G159" i="102"/>
  <c r="G102" i="102"/>
  <c r="G103" i="102"/>
  <c r="G74" i="102"/>
  <c r="G73" i="102"/>
  <c r="C192" i="102"/>
  <c r="G192" i="102" s="1"/>
  <c r="G180" i="102"/>
  <c r="G183" i="102"/>
  <c r="G21" i="102" l="1"/>
  <c r="G27" i="102"/>
</calcChain>
</file>

<file path=xl/sharedStrings.xml><?xml version="1.0" encoding="utf-8"?>
<sst xmlns="http://schemas.openxmlformats.org/spreadsheetml/2006/main" count="978" uniqueCount="110">
  <si>
    <t xml:space="preserve"> </t>
  </si>
  <si>
    <t>CCAF</t>
  </si>
  <si>
    <t>Los Andes</t>
  </si>
  <si>
    <t>La Araucana</t>
  </si>
  <si>
    <t>Caja 18</t>
  </si>
  <si>
    <t>Los Héroes</t>
  </si>
  <si>
    <t>Total</t>
  </si>
  <si>
    <t>I. Información Poblacional</t>
  </si>
  <si>
    <t>Entidades Empleadoras Afiliadas</t>
  </si>
  <si>
    <t>N° Entidades Empleadoras Privadas</t>
  </si>
  <si>
    <t>N° Entidades Empleadoras Públicas</t>
  </si>
  <si>
    <t>Total Entidades Empleadoras Afiliadas</t>
  </si>
  <si>
    <t>Trabajadores Afiliados</t>
  </si>
  <si>
    <t xml:space="preserve">Trabajadores Dependientes </t>
  </si>
  <si>
    <t>N° Trabajadores Dependientes Privados Isapre</t>
  </si>
  <si>
    <t>N° Trabajadores Dependientes Privados Fonasa</t>
  </si>
  <si>
    <t>N° Trabajadores Dependientes Privados</t>
  </si>
  <si>
    <t>N° Trabajadores Dependientes Públicos</t>
  </si>
  <si>
    <t>N° Trabajadores Dependientes Total</t>
  </si>
  <si>
    <t xml:space="preserve">Trabajadores Independientes </t>
  </si>
  <si>
    <t xml:space="preserve">N° Trabajadores Independientes </t>
  </si>
  <si>
    <t>N° Trabajadores Afiliados Total</t>
  </si>
  <si>
    <t>Pensionados Afiliados</t>
  </si>
  <si>
    <t>N° Pensionados Afiliados</t>
  </si>
  <si>
    <t>Total Afiliados</t>
  </si>
  <si>
    <t>N° Total de Afiliados</t>
  </si>
  <si>
    <t>Cargas Familiares Vigentes</t>
  </si>
  <si>
    <t>N° Cargas Familiares Vigentes</t>
  </si>
  <si>
    <t>Remuneraciones de Afiliados</t>
  </si>
  <si>
    <t>Remuneración Total (imponible) trabajadores afiliados ($)</t>
  </si>
  <si>
    <t>Remuneración Total  (imponible) pensionados ($)</t>
  </si>
  <si>
    <t>Total Remuneraciones afiliados ($)</t>
  </si>
  <si>
    <t>(*) Se Considera Remuneración Hasta el Maximo Imponible</t>
  </si>
  <si>
    <t>II. Información Prestaciones Legales</t>
  </si>
  <si>
    <t>Asignaciones Familiares</t>
  </si>
  <si>
    <t>N° Asignaciones Familiares Pagadas</t>
  </si>
  <si>
    <t>Monto (MM$) Asignaciones Familiares Pagadas</t>
  </si>
  <si>
    <t>Subsidio de Cesantía</t>
  </si>
  <si>
    <t>N° Subsidio de Cesantía Pagadas</t>
  </si>
  <si>
    <t>Monto Subsidio de Cesantía Pagadas (MM$)</t>
  </si>
  <si>
    <t>Subsidio de Incapacidad Laboral</t>
  </si>
  <si>
    <t>N° Subsidio de Incapacidad Laboral</t>
  </si>
  <si>
    <t>Monto de Subsidio de Incapacidad Laboral (MM$)</t>
  </si>
  <si>
    <t>III. Información Productos y Servicios</t>
  </si>
  <si>
    <t>Crédito Social (No Incluye Crédito Hipotecario)</t>
  </si>
  <si>
    <t>Trabajadores Dependientes</t>
  </si>
  <si>
    <t xml:space="preserve">N° Colocaciones del mes </t>
  </si>
  <si>
    <t>Monto de Colocaciones del mes (MM$)</t>
  </si>
  <si>
    <t xml:space="preserve">N° Cuotas promedio de colocaciones del mes </t>
  </si>
  <si>
    <t>N° Créditos Cartera Vigente</t>
  </si>
  <si>
    <t>Monto de Créditos Cartera Vigente (MM$)</t>
  </si>
  <si>
    <t>Trabajadores Independientes</t>
  </si>
  <si>
    <t>Pensionados</t>
  </si>
  <si>
    <t>Total Crédito Social</t>
  </si>
  <si>
    <t>N° Colocaciones del mes</t>
  </si>
  <si>
    <t>Crédito Hipotecario</t>
  </si>
  <si>
    <t>Total Crédito Hipotecario</t>
  </si>
  <si>
    <t>Tasa de Interés Colocación Crédito Social</t>
  </si>
  <si>
    <t>Trabajadores (Para monto menor o igual a 200 UF)</t>
  </si>
  <si>
    <t>Plazo 24 meses (%)</t>
  </si>
  <si>
    <t>Plazo 36 meses (%)</t>
  </si>
  <si>
    <t>Plazo 60 meses (%)</t>
  </si>
  <si>
    <t>Trabajadores (Para monto mayor a 200 UF y menor a 5000 UF)</t>
  </si>
  <si>
    <t>Pensionados (Para monto menor o igual a 200 UF)</t>
  </si>
  <si>
    <t>Pensionados (Para monto mayor a 200 UF y menor a 5000 UF)</t>
  </si>
  <si>
    <t>Tasa de Interés Promedio Colocación Crédito Hipotecario al último día del mes (%)</t>
  </si>
  <si>
    <t>anualizada (%)</t>
  </si>
  <si>
    <t>Tasa de Interés Promedio Cartera Vigente (%) (No incluye crédito hipotecario)</t>
  </si>
  <si>
    <t>mensual (%)</t>
  </si>
  <si>
    <t>Ahorro</t>
  </si>
  <si>
    <t>N° Cuentas de Ahorro Vigentes</t>
  </si>
  <si>
    <t>Saldo Acumulado de Cuentas de Ahorro Vigentes (MM$)</t>
  </si>
  <si>
    <t>Seguros</t>
  </si>
  <si>
    <t>N° de Seguros Vigentes</t>
  </si>
  <si>
    <t>IV. Información Servicios a Terceros</t>
  </si>
  <si>
    <t>Recaudación de Cotizaciones</t>
  </si>
  <si>
    <t>N° de planillas recaudadas electrónicamente</t>
  </si>
  <si>
    <t>N° de planillas recaudadas manualmente</t>
  </si>
  <si>
    <t>V. Información Beneficios No Retornables</t>
  </si>
  <si>
    <t>Educación</t>
  </si>
  <si>
    <t>Asignaciones Matrícula</t>
  </si>
  <si>
    <t>N° Asignaciones Pagadas</t>
  </si>
  <si>
    <t>Monto Asignaciones Pagadas (MM$)</t>
  </si>
  <si>
    <t>Becas de Estudios</t>
  </si>
  <si>
    <t>N° Becas Pagadas</t>
  </si>
  <si>
    <t>Monto Becas Pagadas (MM$)</t>
  </si>
  <si>
    <t>Otros Beneficios Educacionales</t>
  </si>
  <si>
    <t>N° Beneficios Pagados</t>
  </si>
  <si>
    <t>Monto Beneficios Pagados (MM$)</t>
  </si>
  <si>
    <t>Total Beneficios Educacionales</t>
  </si>
  <si>
    <t>N° Beneficios Pagados Total</t>
  </si>
  <si>
    <t>Monto de Beneficios Pagados Total (MM$)</t>
  </si>
  <si>
    <t>Salud</t>
  </si>
  <si>
    <t>Contingencias</t>
  </si>
  <si>
    <t>Nupcialidad</t>
  </si>
  <si>
    <t>N° de asignaciones Pagadas</t>
  </si>
  <si>
    <t>Monto de asignaciones pagadas (MM$)</t>
  </si>
  <si>
    <t>Natalidad</t>
  </si>
  <si>
    <t>N° de asignaciones pagadas</t>
  </si>
  <si>
    <t>Fallecimiento</t>
  </si>
  <si>
    <t>Otras asignaciones de contingencias</t>
  </si>
  <si>
    <t xml:space="preserve">Total asignaciones de contingencias </t>
  </si>
  <si>
    <t>N° asignaciones de contingencias pagadas</t>
  </si>
  <si>
    <t>Monto de asignaciones de contingencias pagadas (MM$)</t>
  </si>
  <si>
    <t>Otros beneficios no retornables</t>
  </si>
  <si>
    <t>N° de otros beneficios pagados</t>
  </si>
  <si>
    <t>Monto de otros beneficios pagados (MM$)</t>
  </si>
  <si>
    <t>Total Beneficios No Retornables</t>
  </si>
  <si>
    <t>N° total de beneficios pagados</t>
  </si>
  <si>
    <t>Monto total de beneficios pagados (MM$)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</si>
</sst>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2" fillId="0" borderId="0"/>
    <xf numFmtId="0" fontId="8" fillId="0" borderId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2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6" fillId="3" borderId="2" xfId="0" applyFont="1" applyFill="1" applyBorder="1" applyAlignment="1">
      <alignment horizontal="center"/>
    </xf>
    <xf numFmtId="16" fontId="6" fillId="3" borderId="2" xfId="0" applyNumberFormat="1" applyFont="1" applyFill="1" applyBorder="1" applyAlignment="1">
      <alignment horizontal="center"/>
    </xf>
    <xf numFmtId="3" fontId="0" fillId="2" borderId="0" xfId="0" applyNumberFormat="1" applyFill="1"/>
    <xf numFmtId="1" fontId="0" fillId="2" borderId="0" xfId="0" applyNumberFormat="1" applyFill="1"/>
    <xf numFmtId="0" fontId="5" fillId="4" borderId="4" xfId="0" applyFont="1" applyFill="1" applyBorder="1"/>
    <xf numFmtId="0" fontId="5" fillId="4" borderId="5" xfId="0" applyFont="1" applyFill="1" applyBorder="1"/>
    <xf numFmtId="4" fontId="0" fillId="0" borderId="2" xfId="0" applyNumberFormat="1" applyBorder="1"/>
    <xf numFmtId="3" fontId="0" fillId="2" borderId="2" xfId="0" applyNumberFormat="1" applyFill="1" applyBorder="1"/>
    <xf numFmtId="2" fontId="0" fillId="0" borderId="2" xfId="0" applyNumberFormat="1" applyBorder="1"/>
    <xf numFmtId="0" fontId="0" fillId="0" borderId="2" xfId="0" applyBorder="1"/>
    <xf numFmtId="3" fontId="6" fillId="3" borderId="2" xfId="0" applyNumberFormat="1" applyFont="1" applyFill="1" applyBorder="1" applyAlignment="1">
      <alignment horizontal="center"/>
    </xf>
    <xf numFmtId="0" fontId="0" fillId="2" borderId="2" xfId="0" applyFill="1" applyBorder="1"/>
    <xf numFmtId="3" fontId="0" fillId="2" borderId="3" xfId="0" applyNumberFormat="1" applyFill="1" applyBorder="1"/>
    <xf numFmtId="0" fontId="0" fillId="5" borderId="2" xfId="0" applyFill="1" applyBorder="1"/>
    <xf numFmtId="3" fontId="0" fillId="5" borderId="2" xfId="0" applyNumberFormat="1" applyFill="1" applyBorder="1"/>
    <xf numFmtId="0" fontId="0" fillId="0" borderId="2" xfId="0" applyBorder="1" applyAlignment="1">
      <alignment horizontal="right"/>
    </xf>
    <xf numFmtId="0" fontId="0" fillId="5" borderId="2" xfId="0" applyFill="1" applyBorder="1" applyAlignment="1">
      <alignment horizontal="right"/>
    </xf>
    <xf numFmtId="4" fontId="0" fillId="5" borderId="2" xfId="0" applyNumberFormat="1" applyFill="1" applyBorder="1"/>
    <xf numFmtId="0" fontId="5" fillId="4" borderId="6" xfId="0" applyFont="1" applyFill="1" applyBorder="1"/>
    <xf numFmtId="3" fontId="0" fillId="0" borderId="2" xfId="0" applyNumberFormat="1" applyBorder="1" applyAlignment="1">
      <alignment horizontal="right"/>
    </xf>
    <xf numFmtId="3" fontId="0" fillId="5" borderId="3" xfId="0" applyNumberFormat="1" applyFill="1" applyBorder="1" applyAlignment="1">
      <alignment horizontal="right"/>
    </xf>
    <xf numFmtId="0" fontId="0" fillId="0" borderId="3" xfId="0" applyBorder="1" applyAlignment="1">
      <alignment horizontal="right"/>
    </xf>
    <xf numFmtId="3" fontId="0" fillId="0" borderId="2" xfId="0" applyNumberFormat="1" applyBorder="1"/>
    <xf numFmtId="3" fontId="7" fillId="0" borderId="2" xfId="0" applyNumberFormat="1" applyFont="1" applyBorder="1"/>
    <xf numFmtId="3" fontId="0" fillId="9" borderId="2" xfId="0" applyNumberFormat="1" applyFill="1" applyBorder="1"/>
    <xf numFmtId="2" fontId="0" fillId="0" borderId="3" xfId="0" applyNumberFormat="1" applyBorder="1"/>
    <xf numFmtId="0" fontId="0" fillId="0" borderId="0" xfId="0" applyAlignment="1">
      <alignment horizontal="left"/>
    </xf>
    <xf numFmtId="0" fontId="0" fillId="5" borderId="10" xfId="0" applyFill="1" applyBorder="1"/>
    <xf numFmtId="3" fontId="0" fillId="5" borderId="10" xfId="0" applyNumberFormat="1" applyFill="1" applyBorder="1"/>
    <xf numFmtId="2" fontId="0" fillId="0" borderId="2" xfId="0" applyNumberForma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41" fontId="3" fillId="5" borderId="2" xfId="22" applyFont="1" applyFill="1" applyBorder="1"/>
    <xf numFmtId="0" fontId="0" fillId="0" borderId="0" xfId="0" applyAlignment="1">
      <alignment horizontal="center"/>
    </xf>
    <xf numFmtId="0" fontId="6" fillId="8" borderId="7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left"/>
    </xf>
    <xf numFmtId="0" fontId="6" fillId="7" borderId="4" xfId="0" applyFont="1" applyFill="1" applyBorder="1" applyAlignment="1">
      <alignment horizontal="left"/>
    </xf>
    <xf numFmtId="0" fontId="6" fillId="7" borderId="5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2" borderId="0" xfId="0" applyFill="1" applyAlignment="1">
      <alignment horizontal="right"/>
    </xf>
    <xf numFmtId="0" fontId="5" fillId="4" borderId="2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6" borderId="2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2" borderId="0" xfId="0" applyFill="1" applyAlignment="1">
      <alignment horizontal="center"/>
    </xf>
    <xf numFmtId="0" fontId="6" fillId="7" borderId="2" xfId="0" applyFont="1" applyFill="1" applyBorder="1" applyAlignment="1">
      <alignment horizontal="left"/>
    </xf>
    <xf numFmtId="10" fontId="3" fillId="0" borderId="2" xfId="23" applyNumberFormat="1" applyFont="1" applyBorder="1" applyAlignment="1">
      <alignment horizontal="right"/>
    </xf>
    <xf numFmtId="10" fontId="3" fillId="0" borderId="11" xfId="23" applyNumberFormat="1" applyFont="1" applyBorder="1" applyAlignment="1">
      <alignment horizontal="right"/>
    </xf>
  </cellXfs>
  <cellStyles count="24">
    <cellStyle name="Millares [0]" xfId="22" builtinId="6"/>
    <cellStyle name="Millares 10" xfId="1" xr:uid="{00000000-0005-0000-0000-000002000000}"/>
    <cellStyle name="Millares 11" xfId="2" xr:uid="{00000000-0005-0000-0000-000003000000}"/>
    <cellStyle name="Millares 2" xfId="3" xr:uid="{00000000-0005-0000-0000-000004000000}"/>
    <cellStyle name="Millares 2 2" xfId="4" xr:uid="{00000000-0005-0000-0000-000005000000}"/>
    <cellStyle name="Millares 3" xfId="5" xr:uid="{00000000-0005-0000-0000-000006000000}"/>
    <cellStyle name="Millares 3 2" xfId="6" xr:uid="{00000000-0005-0000-0000-000007000000}"/>
    <cellStyle name="Millares 4" xfId="7" xr:uid="{00000000-0005-0000-0000-000008000000}"/>
    <cellStyle name="Millares 4 2" xfId="8" xr:uid="{00000000-0005-0000-0000-000009000000}"/>
    <cellStyle name="Millares 5" xfId="9" xr:uid="{00000000-0005-0000-0000-00000A000000}"/>
    <cellStyle name="Millares 5 2" xfId="10" xr:uid="{00000000-0005-0000-0000-00000B000000}"/>
    <cellStyle name="Millares 6" xfId="11" xr:uid="{00000000-0005-0000-0000-00000C000000}"/>
    <cellStyle name="Millares 6 2" xfId="12" xr:uid="{00000000-0005-0000-0000-00000D000000}"/>
    <cellStyle name="Millares 7" xfId="13" xr:uid="{00000000-0005-0000-0000-00000E000000}"/>
    <cellStyle name="Millares 7 2" xfId="14" xr:uid="{00000000-0005-0000-0000-00000F000000}"/>
    <cellStyle name="Millares 8" xfId="15" xr:uid="{00000000-0005-0000-0000-000010000000}"/>
    <cellStyle name="Millares 9" xfId="16" xr:uid="{00000000-0005-0000-0000-000011000000}"/>
    <cellStyle name="Normal" xfId="0" builtinId="0"/>
    <cellStyle name="Normal 2" xfId="17" xr:uid="{00000000-0005-0000-0000-000013000000}"/>
    <cellStyle name="Normal 3" xfId="18" xr:uid="{00000000-0005-0000-0000-000014000000}"/>
    <cellStyle name="Normal 4" xfId="19" xr:uid="{00000000-0005-0000-0000-000015000000}"/>
    <cellStyle name="Normal 7" xfId="21" xr:uid="{00000000-0005-0000-0000-000016000000}"/>
    <cellStyle name="Normal 9" xfId="20" xr:uid="{00000000-0005-0000-0000-000017000000}"/>
    <cellStyle name="Porcentaje" xfId="2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D196"/>
  <sheetViews>
    <sheetView topLeftCell="B1" zoomScaleNormal="100" workbookViewId="0">
      <selection activeCell="C6" sqref="C6"/>
    </sheetView>
  </sheetViews>
  <sheetFormatPr baseColWidth="10" defaultColWidth="53.140625" defaultRowHeight="15" x14ac:dyDescent="0.25"/>
  <cols>
    <col min="1" max="1" width="1.42578125" style="1" bestFit="1" customWidth="1"/>
    <col min="2" max="2" width="53.28515625" bestFit="1" customWidth="1"/>
    <col min="3" max="3" width="17.42578125" bestFit="1" customWidth="1"/>
    <col min="4" max="4" width="16.42578125" bestFit="1" customWidth="1"/>
    <col min="5" max="6" width="14.7109375" bestFit="1" customWidth="1"/>
    <col min="7" max="7" width="16.42578125" style="7" bestFit="1" customWidth="1"/>
    <col min="8" max="56" width="53.140625" style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38" t="s">
        <v>1</v>
      </c>
      <c r="D2" s="39"/>
      <c r="E2" s="39"/>
      <c r="F2" s="39"/>
      <c r="G2" s="40"/>
    </row>
    <row r="3" spans="1:7" ht="21" x14ac:dyDescent="0.35">
      <c r="B3" s="1"/>
      <c r="C3" s="5" t="s">
        <v>2</v>
      </c>
      <c r="D3" s="5" t="s">
        <v>3</v>
      </c>
      <c r="E3" s="6" t="s">
        <v>4</v>
      </c>
      <c r="F3" s="5" t="s">
        <v>5</v>
      </c>
      <c r="G3" s="15" t="s">
        <v>6</v>
      </c>
    </row>
    <row r="4" spans="1:7" ht="21" x14ac:dyDescent="0.35">
      <c r="B4" s="41" t="s">
        <v>7</v>
      </c>
      <c r="C4" s="42"/>
      <c r="D4" s="42"/>
      <c r="E4" s="42"/>
      <c r="F4" s="42"/>
      <c r="G4" s="43"/>
    </row>
    <row r="5" spans="1:7" x14ac:dyDescent="0.25">
      <c r="B5" s="44" t="s">
        <v>8</v>
      </c>
      <c r="C5" s="45"/>
      <c r="D5" s="45"/>
      <c r="E5" s="45"/>
      <c r="F5" s="45"/>
      <c r="G5" s="46"/>
    </row>
    <row r="6" spans="1:7" x14ac:dyDescent="0.25">
      <c r="B6" s="4" t="s">
        <v>9</v>
      </c>
      <c r="C6" s="12">
        <v>54301</v>
      </c>
      <c r="D6" s="12">
        <v>8229</v>
      </c>
      <c r="E6" s="12">
        <v>7621</v>
      </c>
      <c r="F6" s="12">
        <v>9202</v>
      </c>
      <c r="G6" s="12">
        <f>+F6+E6+D6+C6</f>
        <v>79353</v>
      </c>
    </row>
    <row r="7" spans="1:7" x14ac:dyDescent="0.25">
      <c r="B7" s="14" t="s">
        <v>10</v>
      </c>
      <c r="C7" s="12">
        <v>568</v>
      </c>
      <c r="D7" s="12">
        <v>287</v>
      </c>
      <c r="E7" s="12">
        <v>23</v>
      </c>
      <c r="F7" s="12">
        <v>128</v>
      </c>
      <c r="G7" s="12">
        <f>+F7+E7+D7+C7</f>
        <v>1006</v>
      </c>
    </row>
    <row r="8" spans="1:7" x14ac:dyDescent="0.25">
      <c r="B8" s="18" t="s">
        <v>11</v>
      </c>
      <c r="C8" s="25">
        <f>SUM(C6:C7)</f>
        <v>54869</v>
      </c>
      <c r="D8" s="25">
        <f>+D6+D7</f>
        <v>8516</v>
      </c>
      <c r="E8" s="25">
        <v>7644</v>
      </c>
      <c r="F8" s="25">
        <v>9330</v>
      </c>
      <c r="G8" s="25">
        <f>+F8+E8+D8+C8</f>
        <v>80359</v>
      </c>
    </row>
    <row r="9" spans="1:7" x14ac:dyDescent="0.25">
      <c r="B9" s="37"/>
      <c r="C9" s="37"/>
      <c r="D9" s="37"/>
      <c r="E9" s="37"/>
      <c r="F9" s="37"/>
      <c r="G9" s="37"/>
    </row>
    <row r="10" spans="1:7" x14ac:dyDescent="0.25">
      <c r="B10" s="44" t="s">
        <v>12</v>
      </c>
      <c r="C10" s="45"/>
      <c r="D10" s="45"/>
      <c r="E10" s="45"/>
      <c r="F10" s="45"/>
      <c r="G10" s="46"/>
    </row>
    <row r="11" spans="1:7" x14ac:dyDescent="0.25">
      <c r="B11" s="47" t="s">
        <v>13</v>
      </c>
      <c r="C11" s="48"/>
      <c r="D11" s="48"/>
      <c r="E11" s="48"/>
      <c r="F11" s="48"/>
      <c r="G11" s="49"/>
    </row>
    <row r="12" spans="1:7" x14ac:dyDescent="0.25">
      <c r="B12" s="16" t="s">
        <v>14</v>
      </c>
      <c r="C12" s="17">
        <v>724619</v>
      </c>
      <c r="D12" s="17">
        <v>89312</v>
      </c>
      <c r="E12" s="17">
        <v>35184</v>
      </c>
      <c r="F12" s="17">
        <v>0</v>
      </c>
      <c r="G12" s="17">
        <f>SUM(C12:F12)</f>
        <v>849115</v>
      </c>
    </row>
    <row r="13" spans="1:7" x14ac:dyDescent="0.25">
      <c r="B13" s="16" t="s">
        <v>15</v>
      </c>
      <c r="C13" s="17">
        <v>2543511</v>
      </c>
      <c r="D13" s="17">
        <v>560614</v>
      </c>
      <c r="E13" s="17">
        <v>224291</v>
      </c>
      <c r="F13" s="17">
        <v>0</v>
      </c>
      <c r="G13" s="17">
        <f>SUM(C13:F13)</f>
        <v>3328416</v>
      </c>
    </row>
    <row r="14" spans="1:7" x14ac:dyDescent="0.25">
      <c r="B14" s="18" t="s">
        <v>16</v>
      </c>
      <c r="C14" s="19">
        <f>C13+C12</f>
        <v>3268130</v>
      </c>
      <c r="D14" s="19">
        <v>895940</v>
      </c>
      <c r="E14" s="19">
        <v>259475</v>
      </c>
      <c r="F14" s="19">
        <v>336043</v>
      </c>
      <c r="G14" s="19">
        <f>SUM(C14:F14)</f>
        <v>4759588</v>
      </c>
    </row>
    <row r="15" spans="1:7" x14ac:dyDescent="0.25">
      <c r="B15" s="18" t="s">
        <v>17</v>
      </c>
      <c r="C15" s="19">
        <v>564301</v>
      </c>
      <c r="D15" s="19">
        <v>219521</v>
      </c>
      <c r="E15" s="19">
        <v>3614</v>
      </c>
      <c r="F15" s="19">
        <v>152694</v>
      </c>
      <c r="G15" s="19">
        <f>SUM(C15:F15)</f>
        <v>940130</v>
      </c>
    </row>
    <row r="16" spans="1:7" x14ac:dyDescent="0.25">
      <c r="B16" s="18" t="s">
        <v>18</v>
      </c>
      <c r="C16" s="19">
        <f>C15+C14</f>
        <v>3832431</v>
      </c>
      <c r="D16" s="19">
        <f>+D14+D15</f>
        <v>1115461</v>
      </c>
      <c r="E16" s="19">
        <v>263089</v>
      </c>
      <c r="F16" s="19">
        <v>488737</v>
      </c>
      <c r="G16" s="19">
        <f>SUM(C16:F16)</f>
        <v>5699718</v>
      </c>
    </row>
    <row r="17" spans="2:8" x14ac:dyDescent="0.25">
      <c r="B17" s="37"/>
      <c r="C17" s="37"/>
      <c r="D17" s="37"/>
      <c r="E17" s="37"/>
      <c r="F17" s="37"/>
      <c r="G17" s="37"/>
    </row>
    <row r="18" spans="2:8" x14ac:dyDescent="0.25">
      <c r="B18" s="47" t="s">
        <v>19</v>
      </c>
      <c r="C18" s="48"/>
      <c r="D18" s="48"/>
      <c r="E18" s="48"/>
      <c r="F18" s="48"/>
      <c r="G18" s="49"/>
    </row>
    <row r="19" spans="2:8" x14ac:dyDescent="0.25">
      <c r="B19" s="14" t="s">
        <v>20</v>
      </c>
      <c r="C19" s="27">
        <v>484</v>
      </c>
      <c r="D19" s="27">
        <v>3</v>
      </c>
      <c r="E19" s="27">
        <v>0</v>
      </c>
      <c r="F19" s="27">
        <v>0</v>
      </c>
      <c r="G19" s="27">
        <f>SUM(C19:F19)</f>
        <v>487</v>
      </c>
    </row>
    <row r="20" spans="2:8" x14ac:dyDescent="0.25">
      <c r="B20" s="50"/>
      <c r="C20" s="50"/>
      <c r="D20" s="50"/>
      <c r="E20" s="50"/>
      <c r="F20" s="50"/>
      <c r="G20" s="50"/>
    </row>
    <row r="21" spans="2:8" x14ac:dyDescent="0.25">
      <c r="B21" s="18" t="s">
        <v>21</v>
      </c>
      <c r="C21" s="19">
        <v>3832915</v>
      </c>
      <c r="D21" s="19">
        <v>1115464</v>
      </c>
      <c r="E21" s="19">
        <f>+E16</f>
        <v>263089</v>
      </c>
      <c r="F21" s="19">
        <f>F16</f>
        <v>488737</v>
      </c>
      <c r="G21" s="19">
        <f>SUM(C21:F21)</f>
        <v>5700205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19">
        <v>410186</v>
      </c>
      <c r="D24" s="19">
        <v>234451</v>
      </c>
      <c r="E24" s="19">
        <v>172936</v>
      </c>
      <c r="F24" s="19">
        <v>636528</v>
      </c>
      <c r="G24" s="19">
        <f>SUM(C24:F24)</f>
        <v>1454101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19">
        <f>+C24+C21</f>
        <v>4243101</v>
      </c>
      <c r="D27" s="19">
        <f>+D24+D21</f>
        <v>1349915</v>
      </c>
      <c r="E27" s="19">
        <f>+E24+E21</f>
        <v>436025</v>
      </c>
      <c r="F27" s="19">
        <v>1125265</v>
      </c>
      <c r="G27" s="19">
        <f>SUM(C27:F27)</f>
        <v>7154306</v>
      </c>
    </row>
    <row r="28" spans="2:8" x14ac:dyDescent="0.25">
      <c r="B28" s="37"/>
      <c r="C28" s="37"/>
      <c r="D28" s="37"/>
      <c r="E28" s="37"/>
      <c r="F28" s="37"/>
      <c r="G28" s="37"/>
      <c r="H28" s="37"/>
    </row>
    <row r="29" spans="2:8" x14ac:dyDescent="0.25">
      <c r="B29" s="44" t="s">
        <v>26</v>
      </c>
      <c r="C29" s="45"/>
      <c r="D29" s="45"/>
      <c r="E29" s="45"/>
      <c r="F29" s="45"/>
      <c r="G29" s="46"/>
    </row>
    <row r="30" spans="2:8" x14ac:dyDescent="0.25">
      <c r="B30" s="14" t="s">
        <v>27</v>
      </c>
      <c r="C30" s="27">
        <v>1177406</v>
      </c>
      <c r="D30" s="27">
        <v>114949</v>
      </c>
      <c r="E30" s="27">
        <v>67265</v>
      </c>
      <c r="F30" s="27">
        <v>169329</v>
      </c>
      <c r="G30" s="27">
        <f>SUM(C30:F30)</f>
        <v>1528949</v>
      </c>
    </row>
    <row r="31" spans="2:8" x14ac:dyDescent="0.25">
      <c r="B31" s="37"/>
      <c r="C31" s="37"/>
      <c r="D31" s="37"/>
      <c r="E31" s="37"/>
      <c r="F31" s="37"/>
      <c r="G31" s="37"/>
      <c r="H31" s="37"/>
    </row>
    <row r="32" spans="2:8" x14ac:dyDescent="0.25">
      <c r="B32" s="44" t="s">
        <v>28</v>
      </c>
      <c r="C32" s="45"/>
      <c r="D32" s="45"/>
      <c r="E32" s="45"/>
      <c r="F32" s="45"/>
      <c r="G32" s="46"/>
    </row>
    <row r="33" spans="2:9" x14ac:dyDescent="0.25">
      <c r="B33" s="14" t="s">
        <v>29</v>
      </c>
      <c r="C33" s="27">
        <v>5008759174683</v>
      </c>
      <c r="D33" s="27">
        <v>728603484695</v>
      </c>
      <c r="E33" s="27">
        <v>308195221994</v>
      </c>
      <c r="F33" s="27">
        <v>582934549268</v>
      </c>
      <c r="G33" s="27">
        <f>SUM(C33:F33)</f>
        <v>6628492430640</v>
      </c>
    </row>
    <row r="34" spans="2:9" x14ac:dyDescent="0.25">
      <c r="B34" s="14" t="s">
        <v>30</v>
      </c>
      <c r="C34" s="27">
        <v>200321483771</v>
      </c>
      <c r="D34" s="27">
        <v>91109403632</v>
      </c>
      <c r="E34" s="27">
        <v>59916441300</v>
      </c>
      <c r="F34" s="27">
        <v>218012740206</v>
      </c>
      <c r="G34" s="27">
        <f>SUM(C34:F34)</f>
        <v>569360068909</v>
      </c>
    </row>
    <row r="35" spans="2:9" x14ac:dyDescent="0.25">
      <c r="B35" s="32" t="s">
        <v>31</v>
      </c>
      <c r="C35" s="33">
        <f>SUM(C33:C34)</f>
        <v>5209080658454</v>
      </c>
      <c r="D35" s="33">
        <f>+D34+D33</f>
        <v>819712888327</v>
      </c>
      <c r="E35" s="33">
        <v>368111663294</v>
      </c>
      <c r="F35" s="33">
        <v>800947289474</v>
      </c>
      <c r="G35" s="33">
        <f>SUM(C35:F35)</f>
        <v>7197852499549</v>
      </c>
    </row>
    <row r="36" spans="2:9" x14ac:dyDescent="0.25">
      <c r="B36" s="52" t="s">
        <v>32</v>
      </c>
      <c r="C36" s="52"/>
      <c r="D36" s="52"/>
      <c r="E36" s="52"/>
      <c r="F36" s="52"/>
      <c r="G36" s="52"/>
      <c r="H36"/>
    </row>
    <row r="37" spans="2:9" x14ac:dyDescent="0.25">
      <c r="B37" s="31"/>
      <c r="C37" s="31"/>
      <c r="D37" s="31"/>
      <c r="E37" s="31"/>
      <c r="F37" s="31"/>
      <c r="G37" s="31"/>
      <c r="H37" s="31"/>
    </row>
    <row r="38" spans="2:9" ht="21" x14ac:dyDescent="0.35">
      <c r="B38" s="41" t="s">
        <v>33</v>
      </c>
      <c r="C38" s="42"/>
      <c r="D38" s="42"/>
      <c r="E38" s="42"/>
      <c r="F38" s="42"/>
      <c r="G38" s="43"/>
    </row>
    <row r="39" spans="2:9" x14ac:dyDescent="0.25">
      <c r="B39" s="44" t="s">
        <v>34</v>
      </c>
      <c r="C39" s="45"/>
      <c r="D39" s="45"/>
      <c r="E39" s="45"/>
      <c r="F39" s="45"/>
      <c r="G39" s="46"/>
    </row>
    <row r="40" spans="2:9" x14ac:dyDescent="0.25">
      <c r="B40" s="14" t="s">
        <v>35</v>
      </c>
      <c r="C40" s="27">
        <v>667752</v>
      </c>
      <c r="D40" s="27">
        <v>100874</v>
      </c>
      <c r="E40" s="27">
        <v>42536</v>
      </c>
      <c r="F40" s="27">
        <v>58449</v>
      </c>
      <c r="G40" s="27">
        <f>SUM(C40:F40)</f>
        <v>869611</v>
      </c>
      <c r="H40" s="7"/>
      <c r="I40" s="7"/>
    </row>
    <row r="41" spans="2:9" x14ac:dyDescent="0.25">
      <c r="B41" s="14" t="s">
        <v>36</v>
      </c>
      <c r="C41" s="27">
        <f>4213528987/1000000</f>
        <v>4213.5289869999997</v>
      </c>
      <c r="D41" s="27">
        <v>1104.360776</v>
      </c>
      <c r="E41" s="27">
        <v>431.7</v>
      </c>
      <c r="F41" s="27">
        <v>608.314123</v>
      </c>
      <c r="G41" s="11">
        <f>SUM(C41:F41)</f>
        <v>6357.9038859999991</v>
      </c>
      <c r="H41" s="7"/>
      <c r="I41" s="7"/>
    </row>
    <row r="42" spans="2:9" x14ac:dyDescent="0.25">
      <c r="B42" s="37"/>
      <c r="C42" s="37"/>
      <c r="D42" s="37"/>
      <c r="E42" s="37"/>
      <c r="F42" s="37"/>
      <c r="G42" s="37"/>
      <c r="H42" s="37"/>
      <c r="I42" s="7"/>
    </row>
    <row r="43" spans="2:9" x14ac:dyDescent="0.25">
      <c r="B43" s="51" t="s">
        <v>37</v>
      </c>
      <c r="C43" s="51"/>
      <c r="D43" s="51"/>
      <c r="E43" s="51"/>
      <c r="F43" s="51"/>
      <c r="G43" s="51"/>
      <c r="I43" s="7"/>
    </row>
    <row r="44" spans="2:9" x14ac:dyDescent="0.25">
      <c r="B44" s="14" t="s">
        <v>38</v>
      </c>
      <c r="C44" s="27">
        <v>6</v>
      </c>
      <c r="D44" s="27">
        <v>0</v>
      </c>
      <c r="E44" s="27">
        <v>2</v>
      </c>
      <c r="F44" s="27">
        <v>1</v>
      </c>
      <c r="G44" s="27">
        <f>SUM(C44:F44)</f>
        <v>9</v>
      </c>
      <c r="H44" s="7"/>
      <c r="I44" s="7"/>
    </row>
    <row r="45" spans="2:9" x14ac:dyDescent="0.25">
      <c r="B45" s="14" t="s">
        <v>39</v>
      </c>
      <c r="C45" s="27">
        <f>4918700/1000000</f>
        <v>4.9187000000000003</v>
      </c>
      <c r="D45" s="27">
        <v>0</v>
      </c>
      <c r="E45" s="27">
        <v>2.3E-2</v>
      </c>
      <c r="F45" s="27">
        <v>0.121561</v>
      </c>
      <c r="G45" s="11">
        <f>SUM(C45:F45)</f>
        <v>5.0632609999999998</v>
      </c>
      <c r="H45" s="7"/>
      <c r="I45" s="7"/>
    </row>
    <row r="46" spans="2:9" x14ac:dyDescent="0.25">
      <c r="B46" s="37"/>
      <c r="C46" s="37"/>
      <c r="D46" s="37"/>
      <c r="E46" s="37"/>
      <c r="F46" s="37"/>
      <c r="G46" s="37"/>
      <c r="H46" s="37"/>
      <c r="I46" s="7"/>
    </row>
    <row r="47" spans="2:9" x14ac:dyDescent="0.25">
      <c r="B47" s="51" t="s">
        <v>40</v>
      </c>
      <c r="C47" s="51"/>
      <c r="D47" s="51"/>
      <c r="E47" s="51"/>
      <c r="F47" s="51"/>
      <c r="G47" s="51"/>
      <c r="I47" s="7"/>
    </row>
    <row r="48" spans="2:9" x14ac:dyDescent="0.25">
      <c r="B48" s="14" t="s">
        <v>41</v>
      </c>
      <c r="C48" s="27">
        <v>90689</v>
      </c>
      <c r="D48" s="27">
        <v>50165</v>
      </c>
      <c r="E48" s="27">
        <v>7566</v>
      </c>
      <c r="F48" s="27">
        <v>41041</v>
      </c>
      <c r="G48" s="27">
        <f>SUM(C48:F48)</f>
        <v>189461</v>
      </c>
      <c r="H48" s="7"/>
      <c r="I48" s="7"/>
    </row>
    <row r="49" spans="2:9" x14ac:dyDescent="0.25">
      <c r="B49" s="14" t="s">
        <v>42</v>
      </c>
      <c r="C49" s="27">
        <f>(72005841237+1157402765)/1000000</f>
        <v>73163.244002000007</v>
      </c>
      <c r="D49" s="27">
        <v>21394</v>
      </c>
      <c r="E49" s="27">
        <v>7912.5283890000001</v>
      </c>
      <c r="F49" s="27">
        <v>9795.9442020000006</v>
      </c>
      <c r="G49" s="11">
        <f>SUM(C49:F49)</f>
        <v>112265.716593</v>
      </c>
      <c r="H49" s="7"/>
      <c r="I49" s="7"/>
    </row>
    <row r="50" spans="2:9" x14ac:dyDescent="0.25">
      <c r="B50" s="37"/>
      <c r="C50" s="37"/>
      <c r="D50" s="37"/>
      <c r="E50" s="37"/>
      <c r="F50" s="37"/>
      <c r="G50" s="37"/>
      <c r="H50" s="37"/>
    </row>
    <row r="51" spans="2:9" ht="21" x14ac:dyDescent="0.35">
      <c r="B51" s="41" t="s">
        <v>43</v>
      </c>
      <c r="C51" s="42"/>
      <c r="D51" s="42"/>
      <c r="E51" s="42"/>
      <c r="F51" s="42"/>
      <c r="G51" s="43"/>
    </row>
    <row r="52" spans="2:9" x14ac:dyDescent="0.25">
      <c r="B52" s="53"/>
      <c r="C52" s="53"/>
      <c r="D52" s="53"/>
      <c r="E52" s="53"/>
      <c r="F52" s="53"/>
      <c r="G52" s="53"/>
      <c r="H52" s="53"/>
    </row>
    <row r="53" spans="2:9" x14ac:dyDescent="0.25">
      <c r="B53" s="51" t="s">
        <v>44</v>
      </c>
      <c r="C53" s="51"/>
      <c r="D53" s="51"/>
      <c r="E53" s="51"/>
      <c r="F53" s="51"/>
      <c r="G53" s="51"/>
    </row>
    <row r="54" spans="2:9" x14ac:dyDescent="0.25">
      <c r="B54" s="54" t="s">
        <v>45</v>
      </c>
      <c r="C54" s="54"/>
      <c r="D54" s="54"/>
      <c r="E54" s="54"/>
      <c r="F54" s="54"/>
      <c r="G54" s="54"/>
    </row>
    <row r="55" spans="2:9" x14ac:dyDescent="0.25">
      <c r="B55" s="14" t="s">
        <v>46</v>
      </c>
      <c r="C55" s="27">
        <v>113146</v>
      </c>
      <c r="D55" s="27">
        <v>7719</v>
      </c>
      <c r="E55" s="27">
        <v>1356</v>
      </c>
      <c r="F55" s="27">
        <v>4356</v>
      </c>
      <c r="G55" s="27">
        <f t="shared" ref="G55:G71" si="0">SUM(C55:F55)</f>
        <v>126577</v>
      </c>
    </row>
    <row r="56" spans="2:9" x14ac:dyDescent="0.25">
      <c r="B56" s="14" t="s">
        <v>47</v>
      </c>
      <c r="C56" s="27">
        <v>88890.976263999997</v>
      </c>
      <c r="D56" s="27">
        <v>12118.3507090003</v>
      </c>
      <c r="E56" s="27">
        <v>2148.202049</v>
      </c>
      <c r="F56" s="27">
        <v>6281</v>
      </c>
      <c r="G56" s="27">
        <f t="shared" si="0"/>
        <v>109438.52902200029</v>
      </c>
    </row>
    <row r="57" spans="2:9" x14ac:dyDescent="0.25">
      <c r="B57" s="14" t="s">
        <v>48</v>
      </c>
      <c r="C57" s="27">
        <v>14.96317147756</v>
      </c>
      <c r="D57" s="27">
        <v>38</v>
      </c>
      <c r="E57" s="27">
        <v>20.160766961651916</v>
      </c>
      <c r="F57" s="27">
        <v>20</v>
      </c>
      <c r="G57" s="27">
        <f>AVERAGE(C57:F57)</f>
        <v>23.280984609802978</v>
      </c>
    </row>
    <row r="58" spans="2:9" x14ac:dyDescent="0.25">
      <c r="B58" s="14" t="s">
        <v>49</v>
      </c>
      <c r="C58" s="27">
        <v>1120265</v>
      </c>
      <c r="D58" s="27">
        <v>176237</v>
      </c>
      <c r="E58" s="27">
        <v>51082</v>
      </c>
      <c r="F58" s="27">
        <v>92038</v>
      </c>
      <c r="G58" s="27">
        <f t="shared" si="0"/>
        <v>1439622</v>
      </c>
    </row>
    <row r="59" spans="2:9" x14ac:dyDescent="0.25">
      <c r="B59" s="14" t="s">
        <v>50</v>
      </c>
      <c r="C59" s="27">
        <v>2450662.339158</v>
      </c>
      <c r="D59" s="27">
        <v>354484.28734600003</v>
      </c>
      <c r="E59" s="27">
        <v>116881.628197</v>
      </c>
      <c r="F59" s="27">
        <v>234183</v>
      </c>
      <c r="G59" s="11">
        <f t="shared" si="0"/>
        <v>3156211.2547009997</v>
      </c>
    </row>
    <row r="60" spans="2:9" x14ac:dyDescent="0.25">
      <c r="B60" s="54" t="s">
        <v>51</v>
      </c>
      <c r="C60" s="54"/>
      <c r="D60" s="54"/>
      <c r="E60" s="54"/>
      <c r="F60" s="54"/>
      <c r="G60" s="54"/>
    </row>
    <row r="61" spans="2:9" x14ac:dyDescent="0.25">
      <c r="B61" s="14" t="s">
        <v>46</v>
      </c>
      <c r="C61" s="20">
        <v>0</v>
      </c>
      <c r="D61" s="14">
        <v>0</v>
      </c>
      <c r="E61" s="14">
        <v>0</v>
      </c>
      <c r="F61" s="20">
        <v>0</v>
      </c>
      <c r="G61" s="27">
        <f t="shared" si="0"/>
        <v>0</v>
      </c>
    </row>
    <row r="62" spans="2:9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9" x14ac:dyDescent="0.25">
      <c r="B63" s="14" t="s">
        <v>48</v>
      </c>
      <c r="C63" s="20">
        <v>0</v>
      </c>
      <c r="D63" s="24">
        <v>0</v>
      </c>
      <c r="E63" s="24">
        <v>0</v>
      </c>
      <c r="F63" s="20">
        <v>0</v>
      </c>
      <c r="G63" s="20">
        <v>0</v>
      </c>
    </row>
    <row r="64" spans="2:9" x14ac:dyDescent="0.25">
      <c r="B64" s="14" t="s">
        <v>49</v>
      </c>
      <c r="C64" s="20">
        <v>0</v>
      </c>
      <c r="D64" s="27">
        <v>0</v>
      </c>
      <c r="E64" s="27">
        <v>0</v>
      </c>
      <c r="F64" s="20">
        <v>0</v>
      </c>
      <c r="G64" s="27">
        <f t="shared" si="0"/>
        <v>0</v>
      </c>
    </row>
    <row r="65" spans="2:8" x14ac:dyDescent="0.25">
      <c r="B65" s="14" t="s">
        <v>50</v>
      </c>
      <c r="C65" s="20">
        <v>0</v>
      </c>
      <c r="D65" s="27">
        <v>0</v>
      </c>
      <c r="E65" s="27">
        <v>0</v>
      </c>
      <c r="F65" s="20">
        <v>0</v>
      </c>
      <c r="G65" s="11">
        <f t="shared" si="0"/>
        <v>0</v>
      </c>
    </row>
    <row r="66" spans="2:8" x14ac:dyDescent="0.25">
      <c r="B66" s="54" t="s">
        <v>52</v>
      </c>
      <c r="C66" s="54"/>
      <c r="D66" s="54"/>
      <c r="E66" s="54"/>
      <c r="F66" s="54"/>
      <c r="G66" s="54"/>
    </row>
    <row r="67" spans="2:8" x14ac:dyDescent="0.25">
      <c r="B67" s="14" t="s">
        <v>46</v>
      </c>
      <c r="C67" s="27">
        <v>4685</v>
      </c>
      <c r="D67" s="27">
        <v>2348</v>
      </c>
      <c r="E67" s="27">
        <v>2499</v>
      </c>
      <c r="F67" s="27">
        <v>7550</v>
      </c>
      <c r="G67" s="27">
        <f t="shared" si="0"/>
        <v>17082</v>
      </c>
    </row>
    <row r="68" spans="2:8" x14ac:dyDescent="0.25">
      <c r="B68" s="14" t="s">
        <v>47</v>
      </c>
      <c r="C68" s="27">
        <v>4272.4311719999996</v>
      </c>
      <c r="D68" s="27">
        <v>2503.0992670000101</v>
      </c>
      <c r="E68" s="27">
        <v>3530.8278350000001</v>
      </c>
      <c r="F68" s="27">
        <v>7240</v>
      </c>
      <c r="G68" s="27">
        <f t="shared" si="0"/>
        <v>17546.358274000009</v>
      </c>
    </row>
    <row r="69" spans="2:8" x14ac:dyDescent="0.25">
      <c r="B69" s="14" t="s">
        <v>48</v>
      </c>
      <c r="C69" s="27">
        <v>28.788687299893301</v>
      </c>
      <c r="D69" s="27">
        <v>54</v>
      </c>
      <c r="E69" s="27">
        <v>51.690276110444181</v>
      </c>
      <c r="F69" s="27">
        <v>40</v>
      </c>
      <c r="G69" s="27">
        <f>AVERAGE(C69:F69)</f>
        <v>43.619740852584371</v>
      </c>
    </row>
    <row r="70" spans="2:8" x14ac:dyDescent="0.25">
      <c r="B70" s="14" t="s">
        <v>49</v>
      </c>
      <c r="C70" s="27">
        <v>143834</v>
      </c>
      <c r="D70" s="27">
        <v>99446</v>
      </c>
      <c r="E70" s="27">
        <v>95199</v>
      </c>
      <c r="F70" s="27">
        <v>297449</v>
      </c>
      <c r="G70" s="27">
        <f t="shared" si="0"/>
        <v>635928</v>
      </c>
    </row>
    <row r="71" spans="2:8" x14ac:dyDescent="0.25">
      <c r="B71" s="14" t="s">
        <v>50</v>
      </c>
      <c r="C71" s="27">
        <v>168153.717863</v>
      </c>
      <c r="D71" s="27">
        <v>118563.50012500001</v>
      </c>
      <c r="E71" s="27">
        <v>114305.707788</v>
      </c>
      <c r="F71" s="27">
        <v>309351</v>
      </c>
      <c r="G71" s="11">
        <f t="shared" si="0"/>
        <v>710373.92577600002</v>
      </c>
    </row>
    <row r="72" spans="2:8" x14ac:dyDescent="0.25">
      <c r="B72" s="55" t="s">
        <v>53</v>
      </c>
      <c r="C72" s="56"/>
      <c r="D72" s="56"/>
      <c r="E72" s="56"/>
      <c r="F72" s="56"/>
      <c r="G72" s="57"/>
    </row>
    <row r="73" spans="2:8" x14ac:dyDescent="0.25">
      <c r="B73" s="18" t="s">
        <v>54</v>
      </c>
      <c r="C73" s="19">
        <f>+C55+C67</f>
        <v>117831</v>
      </c>
      <c r="D73" s="19">
        <f>+D67+D61+D55</f>
        <v>10067</v>
      </c>
      <c r="E73" s="19">
        <v>3855</v>
      </c>
      <c r="F73" s="19">
        <f>+F55+F67</f>
        <v>11906</v>
      </c>
      <c r="G73" s="19">
        <f>SUM(C73:F73)</f>
        <v>143659</v>
      </c>
    </row>
    <row r="74" spans="2:8" x14ac:dyDescent="0.25">
      <c r="B74" s="18" t="s">
        <v>47</v>
      </c>
      <c r="C74" s="19">
        <f>+C56+C68</f>
        <v>93163.407435999994</v>
      </c>
      <c r="D74" s="19">
        <f>+D68+D62+D56</f>
        <v>14621.449976000311</v>
      </c>
      <c r="E74" s="19">
        <v>5679.0298839999996</v>
      </c>
      <c r="F74" s="19">
        <f>+F56+F68</f>
        <v>13521</v>
      </c>
      <c r="G74" s="22">
        <f>SUM(C74:F74)</f>
        <v>126984.88729600031</v>
      </c>
    </row>
    <row r="75" spans="2:8" x14ac:dyDescent="0.25">
      <c r="B75" s="18" t="s">
        <v>48</v>
      </c>
      <c r="C75" s="19">
        <v>15.512878614286601</v>
      </c>
      <c r="D75" s="19">
        <f>(+D57+D63+D69)/3</f>
        <v>30.666666666666668</v>
      </c>
      <c r="E75" s="19">
        <v>40.599740596627754</v>
      </c>
      <c r="F75" s="19">
        <f>(F57+F69)/2</f>
        <v>30</v>
      </c>
      <c r="G75" s="19">
        <f>AVERAGE(C75:F75)</f>
        <v>29.194821469395258</v>
      </c>
    </row>
    <row r="76" spans="2:8" x14ac:dyDescent="0.25">
      <c r="B76" s="18" t="s">
        <v>49</v>
      </c>
      <c r="C76" s="19">
        <f>+C58+C70</f>
        <v>1264099</v>
      </c>
      <c r="D76" s="19">
        <f t="shared" ref="D76" si="1">+D70+D64+D58</f>
        <v>275683</v>
      </c>
      <c r="E76" s="19">
        <v>146281</v>
      </c>
      <c r="F76" s="19">
        <f>+F58+F70</f>
        <v>389487</v>
      </c>
      <c r="G76" s="19">
        <f>SUM(C76:F76)</f>
        <v>2075550</v>
      </c>
    </row>
    <row r="77" spans="2:8" x14ac:dyDescent="0.25">
      <c r="B77" s="18" t="s">
        <v>50</v>
      </c>
      <c r="C77" s="19">
        <f>+C59+C71</f>
        <v>2618816.057021</v>
      </c>
      <c r="D77" s="19">
        <f>+D71+D65+D59</f>
        <v>473047.78747100005</v>
      </c>
      <c r="E77" s="19">
        <v>231187.33598500001</v>
      </c>
      <c r="F77" s="19">
        <f>+F59+F71</f>
        <v>543534</v>
      </c>
      <c r="G77" s="22">
        <f>SUM(C77:F77)</f>
        <v>3866585.1804769998</v>
      </c>
    </row>
    <row r="78" spans="2:8" x14ac:dyDescent="0.25">
      <c r="B78" s="37"/>
      <c r="C78" s="37"/>
      <c r="D78" s="37"/>
      <c r="E78" s="37"/>
      <c r="F78" s="37"/>
      <c r="G78" s="37"/>
      <c r="H78" s="37"/>
    </row>
    <row r="79" spans="2:8" x14ac:dyDescent="0.25">
      <c r="B79" s="44" t="s">
        <v>55</v>
      </c>
      <c r="C79" s="45"/>
      <c r="D79" s="45"/>
      <c r="E79" s="45"/>
      <c r="F79" s="45"/>
      <c r="G79" s="46"/>
    </row>
    <row r="80" spans="2:8" x14ac:dyDescent="0.25">
      <c r="B80" s="47" t="s">
        <v>45</v>
      </c>
      <c r="C80" s="48"/>
      <c r="D80" s="48"/>
      <c r="E80" s="48"/>
      <c r="F80" s="48"/>
      <c r="G80" s="49"/>
    </row>
    <row r="81" spans="2:7" x14ac:dyDescent="0.25">
      <c r="B81" s="14" t="s">
        <v>46</v>
      </c>
      <c r="C81" s="20">
        <v>0</v>
      </c>
      <c r="D81" s="20">
        <v>0</v>
      </c>
      <c r="E81" s="14"/>
      <c r="F81" s="20"/>
      <c r="G81" s="20">
        <f>SUM(C81:F81)</f>
        <v>0</v>
      </c>
    </row>
    <row r="82" spans="2:7" x14ac:dyDescent="0.25">
      <c r="B82" s="14" t="s">
        <v>47</v>
      </c>
      <c r="C82" s="20">
        <v>0</v>
      </c>
      <c r="D82" s="20">
        <v>0</v>
      </c>
      <c r="E82" s="14"/>
      <c r="F82" s="24"/>
      <c r="G82" s="24">
        <f>SUM(C82:F82)</f>
        <v>0</v>
      </c>
    </row>
    <row r="83" spans="2:7" x14ac:dyDescent="0.25">
      <c r="B83" s="14" t="s">
        <v>48</v>
      </c>
      <c r="C83" s="20">
        <v>0</v>
      </c>
      <c r="D83" s="20">
        <v>0</v>
      </c>
      <c r="E83" s="14"/>
      <c r="F83" s="24"/>
      <c r="G83" s="24">
        <f>AVERAGE(C83:F83)</f>
        <v>0</v>
      </c>
    </row>
    <row r="84" spans="2:7" x14ac:dyDescent="0.25">
      <c r="B84" s="14" t="s">
        <v>49</v>
      </c>
      <c r="C84" s="24">
        <v>939</v>
      </c>
      <c r="D84" s="24">
        <v>107</v>
      </c>
      <c r="E84" s="24">
        <v>5</v>
      </c>
      <c r="F84" s="24">
        <v>85</v>
      </c>
      <c r="G84" s="24">
        <f>SUM(C84:F84)</f>
        <v>1136</v>
      </c>
    </row>
    <row r="85" spans="2:7" x14ac:dyDescent="0.25">
      <c r="B85" s="14" t="s">
        <v>50</v>
      </c>
      <c r="C85" s="24">
        <v>19754.338908999998</v>
      </c>
      <c r="D85" s="24">
        <v>1292</v>
      </c>
      <c r="E85" s="24">
        <v>59</v>
      </c>
      <c r="F85" s="24">
        <v>1492.6192040000001</v>
      </c>
      <c r="G85" s="11">
        <f>SUM(C85:F85)</f>
        <v>22597.958112999997</v>
      </c>
    </row>
    <row r="86" spans="2:7" x14ac:dyDescent="0.25">
      <c r="B86" s="47" t="s">
        <v>51</v>
      </c>
      <c r="C86" s="48"/>
      <c r="D86" s="48"/>
      <c r="E86" s="48"/>
      <c r="F86" s="48"/>
      <c r="G86" s="49"/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27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27">
        <f>SUM(C88:F88)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27">
        <f>AVERAGE(C89:F89)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27">
        <f>SUM(C90:F90)</f>
        <v>0</v>
      </c>
    </row>
    <row r="91" spans="2:7" x14ac:dyDescent="0.25">
      <c r="B91" s="14" t="s">
        <v>50</v>
      </c>
      <c r="C91" s="20">
        <v>0</v>
      </c>
      <c r="D91" s="14">
        <v>0</v>
      </c>
      <c r="E91" s="20">
        <v>0</v>
      </c>
      <c r="F91" s="24">
        <v>0</v>
      </c>
      <c r="G91" s="27">
        <f>SUM(C91:F91)</f>
        <v>0</v>
      </c>
    </row>
    <row r="92" spans="2:7" x14ac:dyDescent="0.25">
      <c r="B92" s="47" t="s">
        <v>52</v>
      </c>
      <c r="C92" s="48"/>
      <c r="D92" s="48"/>
      <c r="E92" s="48"/>
      <c r="F92" s="48"/>
      <c r="G92" s="49"/>
    </row>
    <row r="93" spans="2:7" x14ac:dyDescent="0.25">
      <c r="B93" s="14" t="s">
        <v>46</v>
      </c>
      <c r="C93" s="27">
        <v>0</v>
      </c>
      <c r="D93" s="20">
        <v>0</v>
      </c>
      <c r="E93" s="20">
        <v>0</v>
      </c>
      <c r="F93" s="24">
        <v>0</v>
      </c>
      <c r="G93" s="27">
        <f>SUM(C93:F93)</f>
        <v>0</v>
      </c>
    </row>
    <row r="94" spans="2:7" x14ac:dyDescent="0.25">
      <c r="B94" s="14" t="s">
        <v>47</v>
      </c>
      <c r="C94" s="27">
        <v>0</v>
      </c>
      <c r="D94" s="20">
        <v>0</v>
      </c>
      <c r="E94" s="20">
        <v>0</v>
      </c>
      <c r="F94" s="24">
        <v>0</v>
      </c>
      <c r="G94" s="27">
        <f>SUM(C94:F94)</f>
        <v>0</v>
      </c>
    </row>
    <row r="95" spans="2:7" x14ac:dyDescent="0.25">
      <c r="B95" s="14" t="s">
        <v>48</v>
      </c>
      <c r="C95" s="28">
        <v>0</v>
      </c>
      <c r="D95" s="20">
        <v>0</v>
      </c>
      <c r="E95" s="20">
        <v>0</v>
      </c>
      <c r="F95" s="24">
        <v>0</v>
      </c>
      <c r="G95" s="27">
        <f>AVERAGE(C95:F95)</f>
        <v>0</v>
      </c>
    </row>
    <row r="96" spans="2:7" x14ac:dyDescent="0.25">
      <c r="B96" s="14" t="s">
        <v>49</v>
      </c>
      <c r="C96" s="27">
        <v>9</v>
      </c>
      <c r="D96" s="27">
        <v>0</v>
      </c>
      <c r="E96" s="24">
        <v>0</v>
      </c>
      <c r="F96" s="27">
        <v>6</v>
      </c>
      <c r="G96" s="27">
        <f>SUM(C96:F96)</f>
        <v>15</v>
      </c>
    </row>
    <row r="97" spans="2:8" x14ac:dyDescent="0.25">
      <c r="B97" s="14" t="s">
        <v>50</v>
      </c>
      <c r="C97" s="27">
        <v>146.17044899999999</v>
      </c>
      <c r="D97" s="27">
        <v>0</v>
      </c>
      <c r="E97" s="24">
        <v>0</v>
      </c>
      <c r="F97" s="27">
        <v>69.743116999999998</v>
      </c>
      <c r="G97" s="11">
        <f>SUM(C97:F97)</f>
        <v>215.913566</v>
      </c>
    </row>
    <row r="98" spans="2:8" x14ac:dyDescent="0.25">
      <c r="B98" s="55" t="s">
        <v>56</v>
      </c>
      <c r="C98" s="56"/>
      <c r="D98" s="56"/>
      <c r="E98" s="56"/>
      <c r="F98" s="56"/>
      <c r="G98" s="57"/>
    </row>
    <row r="99" spans="2:8" x14ac:dyDescent="0.25">
      <c r="B99" s="18" t="s">
        <v>46</v>
      </c>
      <c r="C99" s="19">
        <v>0</v>
      </c>
      <c r="D99" s="18">
        <v>0</v>
      </c>
      <c r="E99" s="19">
        <v>0</v>
      </c>
      <c r="F99" s="21">
        <v>0</v>
      </c>
      <c r="G99" s="19">
        <f>SUM(C99:F99)</f>
        <v>0</v>
      </c>
    </row>
    <row r="100" spans="2:8" x14ac:dyDescent="0.25">
      <c r="B100" s="18" t="s">
        <v>47</v>
      </c>
      <c r="C100" s="19">
        <v>0</v>
      </c>
      <c r="D100" s="18">
        <v>0</v>
      </c>
      <c r="E100" s="19">
        <v>0</v>
      </c>
      <c r="F100" s="21">
        <v>0</v>
      </c>
      <c r="G100" s="22">
        <f>SUM(C100:F100)</f>
        <v>0</v>
      </c>
    </row>
    <row r="101" spans="2:8" x14ac:dyDescent="0.25">
      <c r="B101" s="18" t="s">
        <v>48</v>
      </c>
      <c r="C101" s="19">
        <v>0</v>
      </c>
      <c r="D101" s="18">
        <v>0</v>
      </c>
      <c r="E101" s="19">
        <v>0</v>
      </c>
      <c r="F101" s="21">
        <v>0</v>
      </c>
      <c r="G101" s="19">
        <f>AVERAGE(C101:F101)</f>
        <v>0</v>
      </c>
    </row>
    <row r="102" spans="2:8" x14ac:dyDescent="0.25">
      <c r="B102" s="18" t="s">
        <v>49</v>
      </c>
      <c r="C102" s="19">
        <f>+C96+C84</f>
        <v>948</v>
      </c>
      <c r="D102" s="19">
        <f t="shared" ref="D102:D103" si="2">+D96+D90+D84</f>
        <v>107</v>
      </c>
      <c r="E102" s="19">
        <f>+E84</f>
        <v>5</v>
      </c>
      <c r="F102" s="19">
        <f>+F96+F84</f>
        <v>91</v>
      </c>
      <c r="G102" s="19">
        <f>SUM(C102:F102)</f>
        <v>1151</v>
      </c>
    </row>
    <row r="103" spans="2:8" x14ac:dyDescent="0.25">
      <c r="B103" s="18" t="s">
        <v>50</v>
      </c>
      <c r="C103" s="19">
        <f>+C97+C85</f>
        <v>19900.509357999999</v>
      </c>
      <c r="D103" s="19">
        <f t="shared" si="2"/>
        <v>1292</v>
      </c>
      <c r="E103" s="19">
        <f>+E85</f>
        <v>59</v>
      </c>
      <c r="F103" s="19">
        <f>+F85+F97</f>
        <v>1562.3623210000001</v>
      </c>
      <c r="G103" s="22">
        <f>SUM(C103:F103)</f>
        <v>22813.871679</v>
      </c>
    </row>
    <row r="104" spans="2:8" x14ac:dyDescent="0.25">
      <c r="B104" s="37"/>
      <c r="C104" s="37"/>
      <c r="D104" s="37"/>
      <c r="E104" s="37"/>
      <c r="F104" s="37"/>
      <c r="G104" s="37"/>
      <c r="H104" s="37"/>
    </row>
    <row r="105" spans="2:8" x14ac:dyDescent="0.25">
      <c r="B105" s="51" t="s">
        <v>57</v>
      </c>
      <c r="C105" s="51"/>
      <c r="D105" s="51"/>
      <c r="E105" s="51"/>
      <c r="F105" s="51"/>
      <c r="G105" s="51"/>
    </row>
    <row r="106" spans="2:8" x14ac:dyDescent="0.25">
      <c r="B106" s="54" t="s">
        <v>58</v>
      </c>
      <c r="C106" s="54"/>
      <c r="D106" s="54"/>
      <c r="E106" s="54"/>
      <c r="F106" s="54"/>
      <c r="G106" s="54"/>
    </row>
    <row r="107" spans="2:8" x14ac:dyDescent="0.25">
      <c r="B107" s="14" t="s">
        <v>59</v>
      </c>
      <c r="C107" s="13">
        <v>2.4319820164775021</v>
      </c>
      <c r="D107" s="13">
        <v>2.5499999999999998</v>
      </c>
      <c r="E107" s="34">
        <v>2.7588652482269502</v>
      </c>
      <c r="F107" s="13">
        <v>2.54</v>
      </c>
      <c r="G107" s="13">
        <f>AVERAGE(C107:F107)</f>
        <v>2.5702118161761129</v>
      </c>
    </row>
    <row r="108" spans="2:8" x14ac:dyDescent="0.25">
      <c r="B108" s="14" t="s">
        <v>60</v>
      </c>
      <c r="C108" s="13">
        <v>2.2761749878028539</v>
      </c>
      <c r="D108" s="13">
        <v>2.56</v>
      </c>
      <c r="E108" s="34">
        <v>2.6115467625899282</v>
      </c>
      <c r="F108" s="13">
        <v>2.54</v>
      </c>
      <c r="G108" s="13">
        <f>AVERAGE(C108:F108)</f>
        <v>2.4969304375981958</v>
      </c>
    </row>
    <row r="109" spans="2:8" x14ac:dyDescent="0.25">
      <c r="B109" s="14" t="s">
        <v>61</v>
      </c>
      <c r="C109" s="13">
        <v>2.1295275807238232</v>
      </c>
      <c r="D109" s="13">
        <v>2.56</v>
      </c>
      <c r="E109" s="34">
        <v>2.5698924731182795</v>
      </c>
      <c r="F109" s="13">
        <v>2.54</v>
      </c>
      <c r="G109" s="13">
        <f>AVERAGE(C109:F109)</f>
        <v>2.4498550134605255</v>
      </c>
    </row>
    <row r="110" spans="2:8" x14ac:dyDescent="0.25">
      <c r="B110" s="54" t="s">
        <v>62</v>
      </c>
      <c r="C110" s="54"/>
      <c r="D110" s="54"/>
      <c r="E110" s="54"/>
      <c r="F110" s="54"/>
      <c r="G110" s="54"/>
    </row>
    <row r="111" spans="2:8" x14ac:dyDescent="0.25">
      <c r="B111" s="14" t="s">
        <v>59</v>
      </c>
      <c r="C111" s="13">
        <v>1.5499999999999983</v>
      </c>
      <c r="D111" s="13">
        <v>1.95</v>
      </c>
      <c r="E111" s="34">
        <v>1.9</v>
      </c>
      <c r="F111" s="13">
        <v>2.0699999999999998</v>
      </c>
      <c r="G111" s="13">
        <f>AVERAGE(C111:F111)</f>
        <v>1.8674999999999997</v>
      </c>
    </row>
    <row r="112" spans="2:8" x14ac:dyDescent="0.25">
      <c r="B112" s="14" t="s">
        <v>60</v>
      </c>
      <c r="C112" s="13">
        <v>1.5500000000000023</v>
      </c>
      <c r="D112" s="13">
        <v>2.09</v>
      </c>
      <c r="E112" s="34">
        <v>2.0699999999999998</v>
      </c>
      <c r="F112" s="13">
        <v>2.0699999999999998</v>
      </c>
      <c r="G112" s="13">
        <f>AVERAGE(C112:F112)</f>
        <v>1.9450000000000007</v>
      </c>
    </row>
    <row r="113" spans="2:9" x14ac:dyDescent="0.25">
      <c r="B113" s="14" t="s">
        <v>61</v>
      </c>
      <c r="C113" s="13">
        <v>1.8753238469087576</v>
      </c>
      <c r="D113" s="13">
        <v>2.09</v>
      </c>
      <c r="E113" s="34">
        <v>1.965566037735849</v>
      </c>
      <c r="F113" s="13">
        <v>2.0699999999999998</v>
      </c>
      <c r="G113" s="13">
        <f>AVERAGE(C113:F113)</f>
        <v>2.0002224711611518</v>
      </c>
    </row>
    <row r="114" spans="2:9" x14ac:dyDescent="0.25">
      <c r="B114" s="37"/>
      <c r="C114" s="37"/>
      <c r="D114" s="37"/>
      <c r="E114" s="37"/>
      <c r="F114" s="37"/>
      <c r="G114" s="37"/>
      <c r="H114" s="37"/>
      <c r="I114" s="37"/>
    </row>
    <row r="115" spans="2:9" x14ac:dyDescent="0.25">
      <c r="B115" s="54" t="s">
        <v>63</v>
      </c>
      <c r="C115" s="54"/>
      <c r="D115" s="54"/>
      <c r="E115" s="54"/>
      <c r="F115" s="54"/>
      <c r="G115" s="54"/>
    </row>
    <row r="116" spans="2:9" x14ac:dyDescent="0.25">
      <c r="B116" s="14" t="s">
        <v>59</v>
      </c>
      <c r="C116" s="13">
        <v>1.5508414943779998</v>
      </c>
      <c r="D116" s="13">
        <v>1.79</v>
      </c>
      <c r="E116" s="34">
        <v>1.8</v>
      </c>
      <c r="F116" s="13">
        <v>1.79</v>
      </c>
      <c r="G116" s="13">
        <f>AVERAGE(C116:F116)</f>
        <v>1.7327103735945</v>
      </c>
    </row>
    <row r="117" spans="2:9" x14ac:dyDescent="0.25">
      <c r="B117" s="14" t="s">
        <v>60</v>
      </c>
      <c r="C117" s="13">
        <v>1.7545888888889527</v>
      </c>
      <c r="D117" s="13">
        <v>1.79</v>
      </c>
      <c r="E117" s="34">
        <v>1.7993661971830985</v>
      </c>
      <c r="F117" s="13">
        <v>1.79</v>
      </c>
      <c r="G117" s="13">
        <f>AVERAGE(C117:F117)</f>
        <v>1.7834887715180128</v>
      </c>
    </row>
    <row r="118" spans="2:9" x14ac:dyDescent="0.25">
      <c r="B118" s="14" t="s">
        <v>61</v>
      </c>
      <c r="C118" s="13">
        <v>1.6835358649788983</v>
      </c>
      <c r="D118" s="13">
        <v>1.74</v>
      </c>
      <c r="E118" s="34">
        <v>1.7784795713328867</v>
      </c>
      <c r="F118" s="13">
        <v>1.74</v>
      </c>
      <c r="G118" s="13">
        <f>AVERAGE(C118:F118)</f>
        <v>1.7355038590779464</v>
      </c>
    </row>
    <row r="119" spans="2:9" x14ac:dyDescent="0.25">
      <c r="B119" s="47" t="s">
        <v>64</v>
      </c>
      <c r="C119" s="48"/>
      <c r="D119" s="48"/>
      <c r="E119" s="48"/>
      <c r="F119" s="48"/>
      <c r="G119" s="49"/>
    </row>
    <row r="120" spans="2:9" x14ac:dyDescent="0.25">
      <c r="B120" s="14" t="s">
        <v>59</v>
      </c>
      <c r="C120" s="13">
        <v>1.27</v>
      </c>
      <c r="D120" s="13">
        <v>1.43</v>
      </c>
      <c r="E120" s="3">
        <v>0</v>
      </c>
      <c r="F120" s="13">
        <v>1.43</v>
      </c>
      <c r="G120" s="13">
        <f>AVERAGE(C120:F120)</f>
        <v>1.0325</v>
      </c>
    </row>
    <row r="121" spans="2:9" x14ac:dyDescent="0.25">
      <c r="B121" s="14" t="s">
        <v>60</v>
      </c>
      <c r="C121" s="13">
        <v>0</v>
      </c>
      <c r="D121" s="13">
        <v>1.43</v>
      </c>
      <c r="E121" s="3">
        <v>1.45</v>
      </c>
      <c r="F121" s="13">
        <v>1.43</v>
      </c>
      <c r="G121" s="13">
        <f>AVERAGE(C121:F121)</f>
        <v>1.0774999999999999</v>
      </c>
    </row>
    <row r="122" spans="2:9" x14ac:dyDescent="0.25">
      <c r="B122" s="14" t="s">
        <v>61</v>
      </c>
      <c r="C122" s="13">
        <v>1.4259090909090908</v>
      </c>
      <c r="D122" s="13">
        <v>1.43</v>
      </c>
      <c r="E122" s="34">
        <v>1.4595833333333335</v>
      </c>
      <c r="F122" s="13">
        <v>1.43</v>
      </c>
      <c r="G122" s="13">
        <f>AVERAGE(C122:F122)</f>
        <v>1.436373106060606</v>
      </c>
    </row>
    <row r="123" spans="2:9" x14ac:dyDescent="0.25">
      <c r="B123" s="37"/>
      <c r="C123" s="37"/>
      <c r="D123" s="37"/>
      <c r="E123" s="37"/>
      <c r="F123" s="37"/>
      <c r="G123" s="37"/>
      <c r="H123" s="37"/>
    </row>
    <row r="124" spans="2:9" x14ac:dyDescent="0.25">
      <c r="B124" s="44" t="s">
        <v>65</v>
      </c>
      <c r="C124" s="45"/>
      <c r="D124" s="45"/>
      <c r="E124" s="45"/>
      <c r="F124" s="45"/>
      <c r="G124" s="46"/>
    </row>
    <row r="125" spans="2:9" x14ac:dyDescent="0.25">
      <c r="B125" s="2" t="s">
        <v>66</v>
      </c>
      <c r="C125" s="13">
        <v>0</v>
      </c>
      <c r="D125" s="26">
        <v>0</v>
      </c>
      <c r="E125" s="20">
        <v>0</v>
      </c>
      <c r="F125" s="20">
        <v>0</v>
      </c>
      <c r="G125" s="11">
        <f>AVERAGE(C125:F125)</f>
        <v>0</v>
      </c>
    </row>
    <row r="126" spans="2:9" x14ac:dyDescent="0.25">
      <c r="B126" s="44" t="s">
        <v>67</v>
      </c>
      <c r="C126" s="45"/>
      <c r="D126" s="45"/>
      <c r="E126" s="45"/>
      <c r="F126" s="45"/>
      <c r="G126" s="46"/>
    </row>
    <row r="127" spans="2:9" x14ac:dyDescent="0.25">
      <c r="B127" s="3" t="s">
        <v>68</v>
      </c>
      <c r="C127" s="13">
        <v>2.0099999999999998</v>
      </c>
      <c r="D127" s="30">
        <v>2.143024</v>
      </c>
      <c r="E127" s="35">
        <v>2.1216501012179254</v>
      </c>
      <c r="F127" s="11">
        <v>0</v>
      </c>
      <c r="G127" s="11">
        <f>AVERAGE(C127:E127)</f>
        <v>2.0915580337393087</v>
      </c>
    </row>
    <row r="128" spans="2:9" x14ac:dyDescent="0.25">
      <c r="B128" s="58"/>
      <c r="C128" s="58"/>
      <c r="D128" s="58"/>
      <c r="E128" s="58"/>
      <c r="F128" s="58"/>
      <c r="G128" s="58"/>
      <c r="H128" s="58"/>
    </row>
    <row r="129" spans="2:9" x14ac:dyDescent="0.25">
      <c r="B129" s="51" t="s">
        <v>69</v>
      </c>
      <c r="C129" s="51"/>
      <c r="D129" s="51"/>
      <c r="E129" s="51"/>
      <c r="F129" s="51"/>
      <c r="G129" s="51"/>
    </row>
    <row r="130" spans="2:9" x14ac:dyDescent="0.25">
      <c r="B130" s="14" t="s">
        <v>70</v>
      </c>
      <c r="C130" s="27">
        <v>257523</v>
      </c>
      <c r="D130" s="27">
        <v>3357</v>
      </c>
      <c r="E130" s="27">
        <v>6076</v>
      </c>
      <c r="F130" s="27">
        <v>753</v>
      </c>
      <c r="G130" s="27">
        <f>SUM(C130:F130)</f>
        <v>267709</v>
      </c>
    </row>
    <row r="131" spans="2:9" x14ac:dyDescent="0.25">
      <c r="B131" s="14" t="s">
        <v>71</v>
      </c>
      <c r="C131" s="27">
        <v>161455.11598199999</v>
      </c>
      <c r="D131" s="27">
        <v>3639</v>
      </c>
      <c r="E131" s="27">
        <v>783126</v>
      </c>
      <c r="F131" s="27">
        <v>794.40980200000001</v>
      </c>
      <c r="G131" s="11">
        <f>SUM(C131:F131)</f>
        <v>949014.52578400006</v>
      </c>
    </row>
    <row r="132" spans="2:9" x14ac:dyDescent="0.25">
      <c r="B132" s="37"/>
      <c r="C132" s="37"/>
      <c r="D132" s="37"/>
      <c r="E132" s="37"/>
      <c r="F132" s="37"/>
      <c r="G132" s="37"/>
      <c r="H132" s="37"/>
    </row>
    <row r="133" spans="2:9" x14ac:dyDescent="0.25">
      <c r="B133" s="51" t="s">
        <v>72</v>
      </c>
      <c r="C133" s="51"/>
      <c r="D133" s="51"/>
      <c r="E133" s="51"/>
      <c r="F133" s="51"/>
      <c r="G133" s="51"/>
    </row>
    <row r="134" spans="2:9" x14ac:dyDescent="0.25">
      <c r="B134" s="14" t="s">
        <v>73</v>
      </c>
      <c r="C134" s="27">
        <v>404920</v>
      </c>
      <c r="D134" s="27">
        <v>427997</v>
      </c>
      <c r="E134" s="27">
        <v>168301</v>
      </c>
      <c r="F134" s="27">
        <v>391887</v>
      </c>
      <c r="G134" s="27">
        <f>SUM(C134:F134)</f>
        <v>1393105</v>
      </c>
    </row>
    <row r="135" spans="2:9" x14ac:dyDescent="0.25">
      <c r="B135" s="37"/>
      <c r="C135" s="37"/>
      <c r="D135" s="37"/>
      <c r="E135" s="37"/>
      <c r="F135" s="37"/>
      <c r="G135" s="37"/>
      <c r="H135" s="37"/>
    </row>
    <row r="136" spans="2:9" ht="21" x14ac:dyDescent="0.35">
      <c r="B136" s="59" t="s">
        <v>74</v>
      </c>
      <c r="C136" s="59"/>
      <c r="D136" s="59"/>
      <c r="E136" s="59"/>
      <c r="F136" s="59"/>
      <c r="G136" s="59"/>
    </row>
    <row r="137" spans="2:9" x14ac:dyDescent="0.25">
      <c r="B137" s="51" t="s">
        <v>75</v>
      </c>
      <c r="C137" s="51"/>
      <c r="D137" s="51"/>
      <c r="E137" s="51"/>
      <c r="F137" s="51"/>
      <c r="G137" s="51"/>
    </row>
    <row r="138" spans="2:9" x14ac:dyDescent="0.25">
      <c r="B138" s="14" t="s">
        <v>76</v>
      </c>
      <c r="C138" s="27">
        <v>0</v>
      </c>
      <c r="D138" s="27">
        <v>0</v>
      </c>
      <c r="E138" s="27">
        <v>0</v>
      </c>
      <c r="F138" s="27">
        <v>14243</v>
      </c>
      <c r="G138" s="27">
        <f>SUM(C138:F138)</f>
        <v>14243</v>
      </c>
      <c r="H138" s="7"/>
      <c r="I138" s="7"/>
    </row>
    <row r="139" spans="2:9" x14ac:dyDescent="0.25">
      <c r="B139" s="14" t="s">
        <v>77</v>
      </c>
      <c r="C139" s="27">
        <v>0</v>
      </c>
      <c r="D139" s="27">
        <v>0</v>
      </c>
      <c r="E139" s="27">
        <v>0</v>
      </c>
      <c r="F139" s="27">
        <v>162</v>
      </c>
      <c r="G139" s="27">
        <f>SUM(C139:F139)</f>
        <v>162</v>
      </c>
      <c r="H139" s="7"/>
      <c r="I139" s="7"/>
    </row>
    <row r="140" spans="2:9" x14ac:dyDescent="0.25">
      <c r="B140" s="37"/>
      <c r="C140" s="37"/>
      <c r="D140" s="37"/>
      <c r="E140" s="37"/>
      <c r="F140" s="37"/>
      <c r="G140" s="37"/>
      <c r="H140" s="37"/>
      <c r="I140" s="7"/>
    </row>
    <row r="141" spans="2:9" x14ac:dyDescent="0.25">
      <c r="B141" s="37"/>
      <c r="C141" s="37"/>
      <c r="D141" s="37"/>
      <c r="E141" s="37"/>
      <c r="F141" s="37"/>
      <c r="G141" s="37"/>
      <c r="H141" s="37"/>
    </row>
    <row r="142" spans="2:9" ht="21" x14ac:dyDescent="0.35">
      <c r="B142" s="41" t="s">
        <v>78</v>
      </c>
      <c r="C142" s="42"/>
      <c r="D142" s="42"/>
      <c r="E142" s="42"/>
      <c r="F142" s="42"/>
      <c r="G142" s="43"/>
    </row>
    <row r="143" spans="2:9" x14ac:dyDescent="0.25">
      <c r="B143" s="44" t="s">
        <v>79</v>
      </c>
      <c r="C143" s="45"/>
      <c r="D143" s="45"/>
      <c r="E143" s="45"/>
      <c r="F143" s="45"/>
      <c r="G143" s="46"/>
    </row>
    <row r="144" spans="2:9" x14ac:dyDescent="0.25">
      <c r="B144" s="37"/>
      <c r="C144" s="37"/>
      <c r="D144" s="37"/>
      <c r="E144" s="37"/>
      <c r="F144" s="37"/>
      <c r="G144" s="37"/>
      <c r="H144" s="37"/>
    </row>
    <row r="145" spans="2:8" x14ac:dyDescent="0.25">
      <c r="B145" s="54" t="s">
        <v>80</v>
      </c>
      <c r="C145" s="54"/>
      <c r="D145" s="54"/>
      <c r="E145" s="54"/>
      <c r="F145" s="54"/>
      <c r="G145" s="54"/>
    </row>
    <row r="146" spans="2:8" x14ac:dyDescent="0.25">
      <c r="B146" s="14" t="s">
        <v>81</v>
      </c>
      <c r="C146" s="27">
        <v>0</v>
      </c>
      <c r="D146" s="27">
        <v>1027</v>
      </c>
      <c r="E146" s="27">
        <v>0</v>
      </c>
      <c r="F146" s="24">
        <v>535</v>
      </c>
      <c r="G146" s="27">
        <f>SUM(C146:F146)</f>
        <v>1562</v>
      </c>
    </row>
    <row r="147" spans="2:8" x14ac:dyDescent="0.25">
      <c r="B147" s="14" t="s">
        <v>82</v>
      </c>
      <c r="C147" s="27">
        <v>0</v>
      </c>
      <c r="D147" s="27">
        <v>22.922000000000001</v>
      </c>
      <c r="E147" s="27">
        <v>0</v>
      </c>
      <c r="F147" s="24">
        <v>6.9634999999999998</v>
      </c>
      <c r="G147" s="11">
        <f>SUM(C147:F147)</f>
        <v>29.8855</v>
      </c>
    </row>
    <row r="148" spans="2:8" x14ac:dyDescent="0.25">
      <c r="B148" s="37"/>
      <c r="C148" s="37"/>
      <c r="D148" s="37"/>
      <c r="E148" s="37"/>
      <c r="F148" s="37"/>
      <c r="G148" s="37"/>
      <c r="H148" s="37"/>
    </row>
    <row r="149" spans="2:8" x14ac:dyDescent="0.25">
      <c r="B149" s="54" t="s">
        <v>83</v>
      </c>
      <c r="C149" s="54"/>
      <c r="D149" s="54"/>
      <c r="E149" s="54"/>
      <c r="F149" s="54"/>
      <c r="G149" s="54"/>
    </row>
    <row r="150" spans="2:8" x14ac:dyDescent="0.25">
      <c r="B150" s="14" t="s">
        <v>84</v>
      </c>
      <c r="C150" s="27">
        <v>0</v>
      </c>
      <c r="D150" s="29">
        <v>0</v>
      </c>
      <c r="E150" s="27">
        <v>0</v>
      </c>
      <c r="F150" s="27">
        <v>0</v>
      </c>
      <c r="G150" s="27">
        <f>SUM(C150:F150)</f>
        <v>0</v>
      </c>
      <c r="H150"/>
    </row>
    <row r="151" spans="2:8" x14ac:dyDescent="0.25">
      <c r="B151" s="14" t="s">
        <v>85</v>
      </c>
      <c r="C151" s="27">
        <v>0</v>
      </c>
      <c r="D151" s="29">
        <v>2.1999999999999999E-2</v>
      </c>
      <c r="E151" s="27">
        <v>0</v>
      </c>
      <c r="F151" s="27">
        <v>0</v>
      </c>
      <c r="G151" s="11">
        <f>SUM(C151:F151)</f>
        <v>2.1999999999999999E-2</v>
      </c>
      <c r="H151"/>
    </row>
    <row r="152" spans="2:8" x14ac:dyDescent="0.25">
      <c r="B152" s="37"/>
      <c r="C152" s="37"/>
      <c r="D152" s="37"/>
      <c r="E152" s="37"/>
      <c r="F152" s="37"/>
      <c r="G152" s="37"/>
      <c r="H152" s="37"/>
    </row>
    <row r="153" spans="2:8" x14ac:dyDescent="0.25">
      <c r="B153" s="54" t="s">
        <v>86</v>
      </c>
      <c r="C153" s="54"/>
      <c r="D153" s="54"/>
      <c r="E153" s="54"/>
      <c r="F153" s="54"/>
      <c r="G153" s="54"/>
    </row>
    <row r="154" spans="2:8" x14ac:dyDescent="0.25">
      <c r="B154" s="14" t="s">
        <v>87</v>
      </c>
      <c r="C154" s="14">
        <v>0</v>
      </c>
      <c r="D154" s="27">
        <v>51</v>
      </c>
      <c r="E154" s="27">
        <v>0</v>
      </c>
      <c r="F154" s="27">
        <v>0</v>
      </c>
      <c r="G154" s="27">
        <f>SUM(C154:F154)</f>
        <v>51</v>
      </c>
      <c r="H154"/>
    </row>
    <row r="155" spans="2:8" x14ac:dyDescent="0.25">
      <c r="B155" s="14" t="s">
        <v>88</v>
      </c>
      <c r="C155" s="11">
        <v>0</v>
      </c>
      <c r="D155" s="27">
        <v>1.1100000000000001</v>
      </c>
      <c r="E155" s="27">
        <v>0.09</v>
      </c>
      <c r="F155" s="27">
        <v>0</v>
      </c>
      <c r="G155" s="11">
        <f>SUM(C155:F155)</f>
        <v>1.2000000000000002</v>
      </c>
      <c r="H155"/>
    </row>
    <row r="156" spans="2:8" x14ac:dyDescent="0.25">
      <c r="B156" s="37"/>
      <c r="C156" s="37"/>
      <c r="D156" s="37"/>
      <c r="E156" s="37"/>
      <c r="F156" s="37"/>
      <c r="G156" s="37"/>
      <c r="H156" s="37"/>
    </row>
    <row r="157" spans="2:8" x14ac:dyDescent="0.25">
      <c r="B157" s="47" t="s">
        <v>89</v>
      </c>
      <c r="C157" s="48"/>
      <c r="D157" s="48"/>
      <c r="E157" s="48"/>
      <c r="F157" s="48"/>
      <c r="G157" s="49"/>
    </row>
    <row r="158" spans="2:8" x14ac:dyDescent="0.25">
      <c r="B158" s="18" t="s">
        <v>90</v>
      </c>
      <c r="C158" s="19">
        <v>0</v>
      </c>
      <c r="D158" s="19">
        <f>D146+D150+D154</f>
        <v>1078</v>
      </c>
      <c r="E158" s="19">
        <v>0</v>
      </c>
      <c r="F158" s="19">
        <f t="shared" ref="F158:F159" si="3">+F146+F154</f>
        <v>535</v>
      </c>
      <c r="G158" s="19">
        <f>SUM(C158:F158)</f>
        <v>1613</v>
      </c>
    </row>
    <row r="159" spans="2:8" x14ac:dyDescent="0.25">
      <c r="B159" s="18" t="s">
        <v>91</v>
      </c>
      <c r="C159" s="19">
        <v>0</v>
      </c>
      <c r="D159" s="19">
        <f>D147+D151+D155</f>
        <v>24.053999999999998</v>
      </c>
      <c r="E159" s="19">
        <v>0.09</v>
      </c>
      <c r="F159" s="19">
        <f t="shared" si="3"/>
        <v>6.9634999999999998</v>
      </c>
      <c r="G159" s="22">
        <f>SUM(C159:F159)</f>
        <v>31.107499999999998</v>
      </c>
    </row>
    <row r="160" spans="2:8" x14ac:dyDescent="0.25">
      <c r="B160" s="37"/>
      <c r="C160" s="37"/>
      <c r="D160" s="37"/>
      <c r="E160" s="37"/>
      <c r="F160" s="37"/>
      <c r="G160" s="37"/>
      <c r="H160" s="37"/>
    </row>
    <row r="161" spans="2:8" x14ac:dyDescent="0.25">
      <c r="B161" s="51" t="s">
        <v>92</v>
      </c>
      <c r="C161" s="51"/>
      <c r="D161" s="51"/>
      <c r="E161" s="51"/>
      <c r="F161" s="51"/>
      <c r="G161" s="51"/>
    </row>
    <row r="162" spans="2:8" x14ac:dyDescent="0.25">
      <c r="B162" s="14" t="s">
        <v>87</v>
      </c>
      <c r="C162" s="27">
        <v>2653</v>
      </c>
      <c r="D162" s="27">
        <v>6007</v>
      </c>
      <c r="E162" s="27">
        <v>7096</v>
      </c>
      <c r="F162" s="27">
        <v>24250</v>
      </c>
      <c r="G162" s="27">
        <f>SUM(C162:F162)</f>
        <v>40006</v>
      </c>
    </row>
    <row r="163" spans="2:8" x14ac:dyDescent="0.25">
      <c r="B163" s="14" t="s">
        <v>88</v>
      </c>
      <c r="C163" s="27">
        <f>63433406/1000000</f>
        <v>63.433405999999998</v>
      </c>
      <c r="D163" s="27">
        <v>28.365763999999999</v>
      </c>
      <c r="E163" s="27">
        <v>131.72210899999999</v>
      </c>
      <c r="F163" s="27">
        <v>123.160089</v>
      </c>
      <c r="G163" s="11">
        <f>SUM(C163:F163)</f>
        <v>346.68136800000002</v>
      </c>
    </row>
    <row r="164" spans="2:8" x14ac:dyDescent="0.25">
      <c r="B164" s="37"/>
      <c r="C164" s="37"/>
      <c r="D164" s="37"/>
      <c r="E164" s="37"/>
      <c r="F164" s="37"/>
      <c r="G164" s="37"/>
    </row>
    <row r="165" spans="2:8" x14ac:dyDescent="0.25">
      <c r="B165" s="44" t="s">
        <v>93</v>
      </c>
      <c r="C165" s="45"/>
      <c r="D165" s="45"/>
      <c r="E165" s="45"/>
      <c r="F165" s="45"/>
      <c r="G165" s="46"/>
    </row>
    <row r="166" spans="2:8" x14ac:dyDescent="0.25">
      <c r="B166" s="47" t="s">
        <v>94</v>
      </c>
      <c r="C166" s="48"/>
      <c r="D166" s="48"/>
      <c r="E166" s="48"/>
      <c r="F166" s="48"/>
      <c r="G166" s="49"/>
    </row>
    <row r="167" spans="2:8" x14ac:dyDescent="0.25">
      <c r="B167" s="14" t="s">
        <v>95</v>
      </c>
      <c r="C167" s="27">
        <v>925</v>
      </c>
      <c r="D167" s="27">
        <v>2821</v>
      </c>
      <c r="E167" s="27">
        <v>87</v>
      </c>
      <c r="F167" s="27">
        <v>587</v>
      </c>
      <c r="G167" s="27">
        <f>SUM(C167:F167)</f>
        <v>4420</v>
      </c>
    </row>
    <row r="168" spans="2:8" x14ac:dyDescent="0.25">
      <c r="B168" s="14" t="s">
        <v>96</v>
      </c>
      <c r="C168" s="27">
        <f>32375000/1000000</f>
        <v>32.375</v>
      </c>
      <c r="D168" s="27">
        <v>60.375</v>
      </c>
      <c r="E168" s="27">
        <v>2.2000000000000002</v>
      </c>
      <c r="F168" s="27">
        <v>21.04</v>
      </c>
      <c r="G168" s="11">
        <f>SUM(C168:F168)</f>
        <v>115.99000000000001</v>
      </c>
    </row>
    <row r="169" spans="2:8" x14ac:dyDescent="0.25">
      <c r="B169" s="37"/>
      <c r="C169" s="37"/>
      <c r="D169" s="37"/>
      <c r="E169" s="37"/>
      <c r="F169" s="37"/>
      <c r="G169" s="37"/>
    </row>
    <row r="170" spans="2:8" x14ac:dyDescent="0.25">
      <c r="B170" s="47" t="s">
        <v>97</v>
      </c>
      <c r="C170" s="48"/>
      <c r="D170" s="48"/>
      <c r="E170" s="48"/>
      <c r="F170" s="48"/>
      <c r="G170" s="49"/>
    </row>
    <row r="171" spans="2:8" x14ac:dyDescent="0.25">
      <c r="B171" s="14" t="s">
        <v>98</v>
      </c>
      <c r="C171" s="27">
        <v>1522</v>
      </c>
      <c r="D171" s="27">
        <v>251</v>
      </c>
      <c r="E171" s="27">
        <v>74</v>
      </c>
      <c r="F171" s="27">
        <v>448</v>
      </c>
      <c r="G171" s="27">
        <f>SUM(C171:F171)</f>
        <v>2295</v>
      </c>
    </row>
    <row r="172" spans="2:8" x14ac:dyDescent="0.25">
      <c r="B172" s="14" t="s">
        <v>96</v>
      </c>
      <c r="C172" s="27">
        <f>53270000/1000000</f>
        <v>53.27</v>
      </c>
      <c r="D172" s="27">
        <v>5.2709999999999999</v>
      </c>
      <c r="E172" s="27">
        <v>1.9</v>
      </c>
      <c r="F172" s="27">
        <v>11.186999999999999</v>
      </c>
      <c r="G172" s="11">
        <f>SUM(C172:F172)</f>
        <v>71.628</v>
      </c>
    </row>
    <row r="173" spans="2:8" x14ac:dyDescent="0.25">
      <c r="B173" s="37"/>
      <c r="C173" s="37"/>
      <c r="D173" s="37"/>
      <c r="E173" s="37"/>
      <c r="F173" s="37"/>
      <c r="G173" s="37"/>
      <c r="H173" s="37"/>
    </row>
    <row r="174" spans="2:8" x14ac:dyDescent="0.25">
      <c r="B174" s="47" t="s">
        <v>99</v>
      </c>
      <c r="C174" s="48"/>
      <c r="D174" s="48"/>
      <c r="E174" s="48"/>
      <c r="F174" s="48"/>
      <c r="G174" s="49"/>
    </row>
    <row r="175" spans="2:8" x14ac:dyDescent="0.25">
      <c r="B175" s="14" t="s">
        <v>98</v>
      </c>
      <c r="C175" s="27">
        <v>286</v>
      </c>
      <c r="D175" s="27">
        <v>345</v>
      </c>
      <c r="E175" s="27">
        <v>211</v>
      </c>
      <c r="F175" s="27">
        <v>41</v>
      </c>
      <c r="G175" s="27">
        <f>SUM(C175:F175)</f>
        <v>883</v>
      </c>
    </row>
    <row r="176" spans="2:8" x14ac:dyDescent="0.25">
      <c r="B176" s="14" t="s">
        <v>96</v>
      </c>
      <c r="C176" s="27">
        <f>29740000/1000000</f>
        <v>29.74</v>
      </c>
      <c r="D176" s="27">
        <v>35.729999999999997</v>
      </c>
      <c r="E176" s="27">
        <v>11.44</v>
      </c>
      <c r="F176" s="27">
        <v>4.5149999999999997</v>
      </c>
      <c r="G176" s="11">
        <f>SUM(C176:F176)</f>
        <v>81.424999999999997</v>
      </c>
    </row>
    <row r="177" spans="2:8" x14ac:dyDescent="0.25">
      <c r="B177" s="37"/>
      <c r="C177" s="37"/>
      <c r="D177" s="37"/>
      <c r="E177" s="37"/>
      <c r="F177" s="37"/>
      <c r="G177" s="37"/>
      <c r="H177" s="37"/>
    </row>
    <row r="178" spans="2:8" x14ac:dyDescent="0.25">
      <c r="B178" s="47" t="s">
        <v>100</v>
      </c>
      <c r="C178" s="48"/>
      <c r="D178" s="48"/>
      <c r="E178" s="48"/>
      <c r="F178" s="48"/>
      <c r="G178" s="49"/>
    </row>
    <row r="179" spans="2:8" x14ac:dyDescent="0.25">
      <c r="B179" s="14" t="s">
        <v>98</v>
      </c>
      <c r="C179" s="27">
        <v>362</v>
      </c>
      <c r="D179" s="27">
        <v>95</v>
      </c>
      <c r="E179" s="27">
        <v>0</v>
      </c>
      <c r="F179" s="27">
        <v>0</v>
      </c>
      <c r="G179" s="27">
        <f>SUM(C179:F179)</f>
        <v>457</v>
      </c>
    </row>
    <row r="180" spans="2:8" x14ac:dyDescent="0.25">
      <c r="B180" s="14" t="s">
        <v>96</v>
      </c>
      <c r="C180" s="27">
        <f>14715000/1000000</f>
        <v>14.715</v>
      </c>
      <c r="D180" s="27">
        <v>9.4639469999999992</v>
      </c>
      <c r="E180" s="27">
        <v>0</v>
      </c>
      <c r="F180" s="27">
        <v>0</v>
      </c>
      <c r="G180" s="11">
        <f>SUM(C180:F180)</f>
        <v>24.178947000000001</v>
      </c>
    </row>
    <row r="181" spans="2:8" x14ac:dyDescent="0.25">
      <c r="B181" s="37"/>
      <c r="C181" s="37"/>
      <c r="D181" s="37"/>
      <c r="E181" s="37"/>
      <c r="F181" s="37"/>
      <c r="G181" s="37"/>
      <c r="H181" s="37"/>
    </row>
    <row r="182" spans="2:8" x14ac:dyDescent="0.25">
      <c r="B182" s="51" t="s">
        <v>101</v>
      </c>
      <c r="C182" s="51"/>
      <c r="D182" s="51"/>
      <c r="E182" s="51"/>
      <c r="F182" s="51"/>
      <c r="G182" s="51"/>
    </row>
    <row r="183" spans="2:8" x14ac:dyDescent="0.25">
      <c r="B183" s="18" t="s">
        <v>102</v>
      </c>
      <c r="C183" s="19">
        <f>+C179+C175+C171+C167</f>
        <v>3095</v>
      </c>
      <c r="D183" s="19">
        <f>D167+D171+D175+D179</f>
        <v>3512</v>
      </c>
      <c r="E183" s="19">
        <v>372</v>
      </c>
      <c r="F183" s="19">
        <f>+F179+F175+F171+F167</f>
        <v>1076</v>
      </c>
      <c r="G183" s="19">
        <f>SUM(C183:F183)</f>
        <v>8055</v>
      </c>
    </row>
    <row r="184" spans="2:8" x14ac:dyDescent="0.25">
      <c r="B184" s="18" t="s">
        <v>103</v>
      </c>
      <c r="C184" s="19">
        <f>+C180+C176+C172+C168</f>
        <v>130.1</v>
      </c>
      <c r="D184" s="19">
        <f>D168+D172+D176+D180</f>
        <v>110.83994700000001</v>
      </c>
      <c r="E184" s="19">
        <v>15.54</v>
      </c>
      <c r="F184" s="19">
        <f>+F180+F176+F172+F168</f>
        <v>36.741999999999997</v>
      </c>
      <c r="G184" s="22">
        <f>SUM(C184:F184)</f>
        <v>293.22194700000006</v>
      </c>
    </row>
    <row r="185" spans="2:8" x14ac:dyDescent="0.25">
      <c r="B185" s="37"/>
      <c r="C185" s="37"/>
      <c r="D185" s="37"/>
      <c r="E185" s="37"/>
      <c r="F185" s="37"/>
      <c r="G185" s="37"/>
      <c r="H185" s="37"/>
    </row>
    <row r="186" spans="2:8" x14ac:dyDescent="0.25">
      <c r="B186" s="51" t="s">
        <v>104</v>
      </c>
      <c r="C186" s="51"/>
      <c r="D186" s="51"/>
      <c r="E186" s="51"/>
      <c r="F186" s="51"/>
      <c r="G186" s="51"/>
    </row>
    <row r="187" spans="2:8" x14ac:dyDescent="0.25">
      <c r="B187" s="14" t="s">
        <v>105</v>
      </c>
      <c r="C187" s="27">
        <v>15462</v>
      </c>
      <c r="D187" s="27">
        <v>0</v>
      </c>
      <c r="E187" s="27">
        <v>141</v>
      </c>
      <c r="F187" s="27">
        <f>F166+F171+F175+F179+F162</f>
        <v>24739</v>
      </c>
      <c r="G187" s="27">
        <f>SUM(C187:F187)</f>
        <v>40342</v>
      </c>
    </row>
    <row r="188" spans="2:8" x14ac:dyDescent="0.25">
      <c r="B188" s="14" t="s">
        <v>106</v>
      </c>
      <c r="C188" s="27">
        <f>294558756/1000000</f>
        <v>294.55875600000002</v>
      </c>
      <c r="D188" s="27">
        <v>0</v>
      </c>
      <c r="E188" s="27">
        <v>8.5</v>
      </c>
      <c r="F188" s="27">
        <f>F167+F172+F176+F180+F163</f>
        <v>725.86208899999997</v>
      </c>
      <c r="G188" s="11">
        <f>SUM(C188:F188)</f>
        <v>1028.9208450000001</v>
      </c>
    </row>
    <row r="189" spans="2:8" x14ac:dyDescent="0.25">
      <c r="B189" s="37"/>
      <c r="C189" s="37"/>
      <c r="D189" s="37"/>
      <c r="E189" s="37"/>
      <c r="F189" s="37"/>
      <c r="G189" s="37"/>
      <c r="H189" s="37"/>
    </row>
    <row r="190" spans="2:8" x14ac:dyDescent="0.25">
      <c r="B190" s="51" t="s">
        <v>107</v>
      </c>
      <c r="C190" s="51"/>
      <c r="D190" s="51"/>
      <c r="E190" s="51"/>
      <c r="F190" s="51"/>
      <c r="G190" s="51"/>
    </row>
    <row r="191" spans="2:8" x14ac:dyDescent="0.25">
      <c r="B191" s="18" t="s">
        <v>108</v>
      </c>
      <c r="C191" s="19">
        <f>C187+C162+C183</f>
        <v>21210</v>
      </c>
      <c r="D191" s="19">
        <f>+D187+D183+D162+D158</f>
        <v>10597</v>
      </c>
      <c r="E191" s="19">
        <v>7609</v>
      </c>
      <c r="F191" s="19">
        <f>F158+F162+F183+F187</f>
        <v>50600</v>
      </c>
      <c r="G191" s="19">
        <f>SUM(C191:F191)</f>
        <v>90016</v>
      </c>
    </row>
    <row r="192" spans="2:8" x14ac:dyDescent="0.25">
      <c r="B192" s="18" t="s">
        <v>109</v>
      </c>
      <c r="C192" s="19">
        <f>C188+C163+C184</f>
        <v>488.09216200000003</v>
      </c>
      <c r="D192" s="19">
        <f>+D188+D184+D163+D159</f>
        <v>163.25971100000001</v>
      </c>
      <c r="E192" s="19">
        <v>155.76210899999998</v>
      </c>
      <c r="F192" s="19">
        <f>F159+F184+F163+F188</f>
        <v>892.72767799999997</v>
      </c>
      <c r="G192" s="22">
        <f>SUM(C192:F192)</f>
        <v>1699.84166</v>
      </c>
    </row>
    <row r="193" spans="3:7" s="1" customFormat="1" x14ac:dyDescent="0.25">
      <c r="G193" s="7"/>
    </row>
    <row r="194" spans="3:7" s="1" customFormat="1" x14ac:dyDescent="0.25">
      <c r="C194" s="7"/>
      <c r="G194" s="7"/>
    </row>
    <row r="195" spans="3:7" s="1" customFormat="1" x14ac:dyDescent="0.25">
      <c r="G195" s="7"/>
    </row>
    <row r="196" spans="3:7" s="1" customFormat="1" x14ac:dyDescent="0.25">
      <c r="C196" s="8"/>
      <c r="G196" s="7"/>
    </row>
  </sheetData>
  <mergeCells count="80">
    <mergeCell ref="B189:H189"/>
    <mergeCell ref="B190:G190"/>
    <mergeCell ref="B177:H177"/>
    <mergeCell ref="B178:G178"/>
    <mergeCell ref="B181:H181"/>
    <mergeCell ref="B182:G182"/>
    <mergeCell ref="B185:H185"/>
    <mergeCell ref="B186:G186"/>
    <mergeCell ref="B174:G174"/>
    <mergeCell ref="B153:G153"/>
    <mergeCell ref="B156:H156"/>
    <mergeCell ref="B157:G157"/>
    <mergeCell ref="B160:H160"/>
    <mergeCell ref="B161:G161"/>
    <mergeCell ref="B164:G164"/>
    <mergeCell ref="B165:G165"/>
    <mergeCell ref="B166:G166"/>
    <mergeCell ref="B169:G169"/>
    <mergeCell ref="B170:G170"/>
    <mergeCell ref="B173:H173"/>
    <mergeCell ref="B152:H152"/>
    <mergeCell ref="B135:H135"/>
    <mergeCell ref="B136:G136"/>
    <mergeCell ref="B137:G137"/>
    <mergeCell ref="B140:H140"/>
    <mergeCell ref="B141:H141"/>
    <mergeCell ref="B142:G142"/>
    <mergeCell ref="B143:G143"/>
    <mergeCell ref="B144:H144"/>
    <mergeCell ref="B145:G145"/>
    <mergeCell ref="B148:H148"/>
    <mergeCell ref="B149:G149"/>
    <mergeCell ref="B133:G133"/>
    <mergeCell ref="B106:G106"/>
    <mergeCell ref="B110:G110"/>
    <mergeCell ref="B114:I114"/>
    <mergeCell ref="B115:G115"/>
    <mergeCell ref="B119:G119"/>
    <mergeCell ref="B123:H123"/>
    <mergeCell ref="B124:G124"/>
    <mergeCell ref="B126:G126"/>
    <mergeCell ref="B128:H128"/>
    <mergeCell ref="B129:G129"/>
    <mergeCell ref="B132:H132"/>
    <mergeCell ref="B105:G105"/>
    <mergeCell ref="B54:G54"/>
    <mergeCell ref="B60:G60"/>
    <mergeCell ref="B66:G66"/>
    <mergeCell ref="B72:G72"/>
    <mergeCell ref="B78:H78"/>
    <mergeCell ref="B79:G79"/>
    <mergeCell ref="B80:G80"/>
    <mergeCell ref="B86:G86"/>
    <mergeCell ref="B92:G92"/>
    <mergeCell ref="B98:G98"/>
    <mergeCell ref="B104:H104"/>
    <mergeCell ref="B53:G53"/>
    <mergeCell ref="B32:G32"/>
    <mergeCell ref="B38:G38"/>
    <mergeCell ref="B39:G39"/>
    <mergeCell ref="B42:H42"/>
    <mergeCell ref="B43:G43"/>
    <mergeCell ref="B46:H46"/>
    <mergeCell ref="B47:G47"/>
    <mergeCell ref="B50:H50"/>
    <mergeCell ref="B51:G51"/>
    <mergeCell ref="B52:H52"/>
    <mergeCell ref="B36:G36"/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E3D9E-5862-4046-BB40-1EDAF699C656}">
  <dimension ref="A1:BD196"/>
  <sheetViews>
    <sheetView topLeftCell="B1" zoomScaleNormal="100" workbookViewId="0">
      <selection activeCell="C6" sqref="C6"/>
    </sheetView>
  </sheetViews>
  <sheetFormatPr baseColWidth="10" defaultColWidth="53.140625" defaultRowHeight="15" x14ac:dyDescent="0.25"/>
  <cols>
    <col min="1" max="1" width="1.42578125" style="1" bestFit="1" customWidth="1"/>
    <col min="2" max="2" width="53.28515625" bestFit="1" customWidth="1"/>
    <col min="3" max="3" width="17.42578125" bestFit="1" customWidth="1"/>
    <col min="4" max="4" width="16.42578125" bestFit="1" customWidth="1"/>
    <col min="5" max="6" width="14.7109375" bestFit="1" customWidth="1"/>
    <col min="7" max="7" width="16.42578125" style="7" bestFit="1" customWidth="1"/>
    <col min="8" max="56" width="53.140625" style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38" t="s">
        <v>1</v>
      </c>
      <c r="D2" s="39"/>
      <c r="E2" s="39"/>
      <c r="F2" s="39"/>
      <c r="G2" s="40"/>
    </row>
    <row r="3" spans="1:7" ht="21" x14ac:dyDescent="0.35">
      <c r="B3" s="1"/>
      <c r="C3" s="5" t="s">
        <v>2</v>
      </c>
      <c r="D3" s="5" t="s">
        <v>3</v>
      </c>
      <c r="E3" s="6" t="s">
        <v>4</v>
      </c>
      <c r="F3" s="5" t="s">
        <v>5</v>
      </c>
      <c r="G3" s="15" t="s">
        <v>6</v>
      </c>
    </row>
    <row r="4" spans="1:7" ht="21" x14ac:dyDescent="0.35">
      <c r="B4" s="41" t="s">
        <v>7</v>
      </c>
      <c r="C4" s="42"/>
      <c r="D4" s="42"/>
      <c r="E4" s="42"/>
      <c r="F4" s="42"/>
      <c r="G4" s="43"/>
    </row>
    <row r="5" spans="1:7" x14ac:dyDescent="0.25">
      <c r="B5" s="44" t="s">
        <v>8</v>
      </c>
      <c r="C5" s="45"/>
      <c r="D5" s="45"/>
      <c r="E5" s="45"/>
      <c r="F5" s="45"/>
      <c r="G5" s="46"/>
    </row>
    <row r="6" spans="1:7" x14ac:dyDescent="0.25">
      <c r="B6" s="4" t="s">
        <v>9</v>
      </c>
      <c r="C6" s="12">
        <v>54265</v>
      </c>
      <c r="D6" s="12">
        <v>8255</v>
      </c>
      <c r="E6" s="12">
        <v>7605</v>
      </c>
      <c r="F6" s="12">
        <v>9170</v>
      </c>
      <c r="G6" s="12">
        <f>+F6+E6+D6+C6</f>
        <v>79295</v>
      </c>
    </row>
    <row r="7" spans="1:7" x14ac:dyDescent="0.25">
      <c r="B7" s="14" t="s">
        <v>10</v>
      </c>
      <c r="C7" s="12">
        <v>568</v>
      </c>
      <c r="D7" s="12">
        <v>288</v>
      </c>
      <c r="E7" s="12">
        <v>23</v>
      </c>
      <c r="F7" s="12">
        <v>128</v>
      </c>
      <c r="G7" s="12">
        <f>+F7+E7+D7+C7</f>
        <v>1007</v>
      </c>
    </row>
    <row r="8" spans="1:7" x14ac:dyDescent="0.25">
      <c r="B8" s="18" t="s">
        <v>11</v>
      </c>
      <c r="C8" s="25">
        <f>SUM(C6:C7)</f>
        <v>54833</v>
      </c>
      <c r="D8" s="25">
        <f>+D6+D7</f>
        <v>8543</v>
      </c>
      <c r="E8" s="25">
        <v>7628</v>
      </c>
      <c r="F8" s="25">
        <v>9298</v>
      </c>
      <c r="G8" s="25">
        <f>+F8+E8+D8+C8</f>
        <v>80302</v>
      </c>
    </row>
    <row r="9" spans="1:7" x14ac:dyDescent="0.25">
      <c r="B9" s="37"/>
      <c r="C9" s="37"/>
      <c r="D9" s="37"/>
      <c r="E9" s="37"/>
      <c r="F9" s="37"/>
      <c r="G9" s="37"/>
    </row>
    <row r="10" spans="1:7" x14ac:dyDescent="0.25">
      <c r="B10" s="44" t="s">
        <v>12</v>
      </c>
      <c r="C10" s="45"/>
      <c r="D10" s="45"/>
      <c r="E10" s="45"/>
      <c r="F10" s="45"/>
      <c r="G10" s="46"/>
    </row>
    <row r="11" spans="1:7" x14ac:dyDescent="0.25">
      <c r="B11" s="47" t="s">
        <v>13</v>
      </c>
      <c r="C11" s="48"/>
      <c r="D11" s="48"/>
      <c r="E11" s="48"/>
      <c r="F11" s="48"/>
      <c r="G11" s="49"/>
    </row>
    <row r="12" spans="1:7" x14ac:dyDescent="0.25">
      <c r="B12" s="16" t="s">
        <v>14</v>
      </c>
      <c r="C12" s="17">
        <v>723673</v>
      </c>
      <c r="D12" s="17">
        <v>89250</v>
      </c>
      <c r="E12" s="17">
        <v>34737</v>
      </c>
      <c r="F12" s="17">
        <v>0</v>
      </c>
      <c r="G12" s="17">
        <f>SUM(C12:F12)</f>
        <v>847660</v>
      </c>
    </row>
    <row r="13" spans="1:7" x14ac:dyDescent="0.25">
      <c r="B13" s="16" t="s">
        <v>15</v>
      </c>
      <c r="C13" s="17">
        <v>2589068</v>
      </c>
      <c r="D13" s="17">
        <v>559794</v>
      </c>
      <c r="E13" s="17">
        <v>223306</v>
      </c>
      <c r="F13" s="17">
        <v>0</v>
      </c>
      <c r="G13" s="17">
        <f>SUM(C13:F13)</f>
        <v>3372168</v>
      </c>
    </row>
    <row r="14" spans="1:7" x14ac:dyDescent="0.25">
      <c r="B14" s="18" t="s">
        <v>16</v>
      </c>
      <c r="C14" s="19">
        <f>C13+C12</f>
        <v>3312741</v>
      </c>
      <c r="D14" s="19">
        <v>927089</v>
      </c>
      <c r="E14" s="19">
        <v>258043</v>
      </c>
      <c r="F14" s="19">
        <v>336578</v>
      </c>
      <c r="G14" s="19">
        <f>SUM(C14:F14)</f>
        <v>4834451</v>
      </c>
    </row>
    <row r="15" spans="1:7" x14ac:dyDescent="0.25">
      <c r="B15" s="18" t="s">
        <v>17</v>
      </c>
      <c r="C15" s="19">
        <v>565883</v>
      </c>
      <c r="D15" s="19">
        <v>222298</v>
      </c>
      <c r="E15" s="19">
        <v>3622</v>
      </c>
      <c r="F15" s="19">
        <v>152152</v>
      </c>
      <c r="G15" s="19">
        <f>SUM(C15:F15)</f>
        <v>943955</v>
      </c>
    </row>
    <row r="16" spans="1:7" x14ac:dyDescent="0.25">
      <c r="B16" s="18" t="s">
        <v>18</v>
      </c>
      <c r="C16" s="19">
        <f>C15+C14</f>
        <v>3878624</v>
      </c>
      <c r="D16" s="19">
        <f>+D14+D15</f>
        <v>1149387</v>
      </c>
      <c r="E16" s="19">
        <v>261665</v>
      </c>
      <c r="F16" s="19">
        <v>488730</v>
      </c>
      <c r="G16" s="19">
        <f>SUM(C16:F16)</f>
        <v>5778406</v>
      </c>
    </row>
    <row r="17" spans="2:8" x14ac:dyDescent="0.25">
      <c r="B17" s="37"/>
      <c r="C17" s="37"/>
      <c r="D17" s="37"/>
      <c r="E17" s="37"/>
      <c r="F17" s="37"/>
      <c r="G17" s="37"/>
    </row>
    <row r="18" spans="2:8" x14ac:dyDescent="0.25">
      <c r="B18" s="47" t="s">
        <v>19</v>
      </c>
      <c r="C18" s="48"/>
      <c r="D18" s="48"/>
      <c r="E18" s="48"/>
      <c r="F18" s="48"/>
      <c r="G18" s="49"/>
    </row>
    <row r="19" spans="2:8" x14ac:dyDescent="0.25">
      <c r="B19" s="14" t="s">
        <v>20</v>
      </c>
      <c r="C19" s="27">
        <v>486</v>
      </c>
      <c r="D19" s="27">
        <v>4</v>
      </c>
      <c r="E19" s="27">
        <v>0</v>
      </c>
      <c r="F19" s="27">
        <v>0</v>
      </c>
      <c r="G19" s="27">
        <f>SUM(C19:F19)</f>
        <v>490</v>
      </c>
    </row>
    <row r="20" spans="2:8" x14ac:dyDescent="0.25">
      <c r="B20" s="50"/>
      <c r="C20" s="50"/>
      <c r="D20" s="50"/>
      <c r="E20" s="50"/>
      <c r="F20" s="50"/>
      <c r="G20" s="50"/>
    </row>
    <row r="21" spans="2:8" x14ac:dyDescent="0.25">
      <c r="B21" s="18" t="s">
        <v>21</v>
      </c>
      <c r="C21" s="36">
        <f>+C16+C19</f>
        <v>3879110</v>
      </c>
      <c r="D21" s="19">
        <v>1149391</v>
      </c>
      <c r="E21" s="19">
        <f>+E16</f>
        <v>261665</v>
      </c>
      <c r="F21" s="19">
        <f>F16</f>
        <v>488730</v>
      </c>
      <c r="G21" s="19">
        <f>SUM(C21:F21)</f>
        <v>5778896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19">
        <v>410460</v>
      </c>
      <c r="D24" s="19">
        <v>236222</v>
      </c>
      <c r="E24" s="19">
        <v>174538</v>
      </c>
      <c r="F24" s="19">
        <v>638073</v>
      </c>
      <c r="G24" s="19">
        <f>SUM(C24:F24)</f>
        <v>1459293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19">
        <f>+C24+C21</f>
        <v>4289570</v>
      </c>
      <c r="D27" s="19">
        <f>+D24+D21</f>
        <v>1385613</v>
      </c>
      <c r="E27" s="19">
        <f>+E24+E21</f>
        <v>436203</v>
      </c>
      <c r="F27" s="19">
        <v>1126803</v>
      </c>
      <c r="G27" s="19">
        <f>SUM(C27:F27)</f>
        <v>7238189</v>
      </c>
    </row>
    <row r="28" spans="2:8" x14ac:dyDescent="0.25">
      <c r="B28" s="37"/>
      <c r="C28" s="37"/>
      <c r="D28" s="37"/>
      <c r="E28" s="37"/>
      <c r="F28" s="37"/>
      <c r="G28" s="37"/>
      <c r="H28" s="37"/>
    </row>
    <row r="29" spans="2:8" x14ac:dyDescent="0.25">
      <c r="B29" s="44" t="s">
        <v>26</v>
      </c>
      <c r="C29" s="45"/>
      <c r="D29" s="45"/>
      <c r="E29" s="45"/>
      <c r="F29" s="45"/>
      <c r="G29" s="46"/>
    </row>
    <row r="30" spans="2:8" x14ac:dyDescent="0.25">
      <c r="B30" s="14" t="s">
        <v>27</v>
      </c>
      <c r="C30" s="27">
        <v>1196099</v>
      </c>
      <c r="D30" s="27">
        <v>107428</v>
      </c>
      <c r="E30" s="27">
        <v>62537</v>
      </c>
      <c r="F30" s="27">
        <v>166809</v>
      </c>
      <c r="G30" s="27">
        <f>SUM(C30:F30)</f>
        <v>1532873</v>
      </c>
    </row>
    <row r="31" spans="2:8" x14ac:dyDescent="0.25">
      <c r="B31" s="37"/>
      <c r="C31" s="37"/>
      <c r="D31" s="37"/>
      <c r="E31" s="37"/>
      <c r="F31" s="37"/>
      <c r="G31" s="37"/>
      <c r="H31" s="37"/>
    </row>
    <row r="32" spans="2:8" x14ac:dyDescent="0.25">
      <c r="B32" s="44" t="s">
        <v>28</v>
      </c>
      <c r="C32" s="45"/>
      <c r="D32" s="45"/>
      <c r="E32" s="45"/>
      <c r="F32" s="45"/>
      <c r="G32" s="46"/>
    </row>
    <row r="33" spans="2:9" x14ac:dyDescent="0.25">
      <c r="B33" s="14" t="s">
        <v>29</v>
      </c>
      <c r="C33" s="27">
        <v>4839918756602</v>
      </c>
      <c r="D33" s="27">
        <v>765497988791</v>
      </c>
      <c r="E33" s="27">
        <v>281121832081</v>
      </c>
      <c r="F33" s="27">
        <v>548570448508</v>
      </c>
      <c r="G33" s="27">
        <f>SUM(C33:F33)</f>
        <v>6435109025982</v>
      </c>
    </row>
    <row r="34" spans="2:9" x14ac:dyDescent="0.25">
      <c r="B34" s="14" t="s">
        <v>30</v>
      </c>
      <c r="C34" s="27">
        <v>216974903389</v>
      </c>
      <c r="D34" s="27">
        <v>92936003900</v>
      </c>
      <c r="E34" s="27">
        <v>64294931100</v>
      </c>
      <c r="F34" s="27">
        <v>229842784219</v>
      </c>
      <c r="G34" s="27">
        <f>SUM(C34:F34)</f>
        <v>604048622608</v>
      </c>
    </row>
    <row r="35" spans="2:9" x14ac:dyDescent="0.25">
      <c r="B35" s="32" t="s">
        <v>31</v>
      </c>
      <c r="C35" s="33">
        <f>SUM(C33:C34)</f>
        <v>5056893659991</v>
      </c>
      <c r="D35" s="33">
        <f>+D34+D33</f>
        <v>858433992691</v>
      </c>
      <c r="E35" s="33">
        <v>345416763181</v>
      </c>
      <c r="F35" s="33">
        <v>778413232727</v>
      </c>
      <c r="G35" s="33">
        <f>SUM(C35:F35)</f>
        <v>7039157648590</v>
      </c>
    </row>
    <row r="36" spans="2:9" x14ac:dyDescent="0.25">
      <c r="B36" s="52" t="s">
        <v>32</v>
      </c>
      <c r="C36" s="52"/>
      <c r="D36" s="52"/>
      <c r="E36" s="52"/>
      <c r="F36" s="52"/>
      <c r="G36" s="52"/>
      <c r="H36"/>
    </row>
    <row r="37" spans="2:9" x14ac:dyDescent="0.25">
      <c r="B37" s="31"/>
      <c r="C37" s="31"/>
      <c r="D37" s="31"/>
      <c r="E37" s="31"/>
      <c r="F37" s="31"/>
      <c r="G37" s="31"/>
      <c r="H37" s="31"/>
    </row>
    <row r="38" spans="2:9" ht="21" x14ac:dyDescent="0.35">
      <c r="B38" s="41" t="s">
        <v>33</v>
      </c>
      <c r="C38" s="42"/>
      <c r="D38" s="42"/>
      <c r="E38" s="42"/>
      <c r="F38" s="42"/>
      <c r="G38" s="43"/>
    </row>
    <row r="39" spans="2:9" x14ac:dyDescent="0.25">
      <c r="B39" s="44" t="s">
        <v>34</v>
      </c>
      <c r="C39" s="45"/>
      <c r="D39" s="45"/>
      <c r="E39" s="45"/>
      <c r="F39" s="45"/>
      <c r="G39" s="46"/>
    </row>
    <row r="40" spans="2:9" x14ac:dyDescent="0.25">
      <c r="B40" s="14" t="s">
        <v>35</v>
      </c>
      <c r="C40" s="27">
        <v>626593</v>
      </c>
      <c r="D40" s="27">
        <v>99806</v>
      </c>
      <c r="E40" s="27">
        <v>39699</v>
      </c>
      <c r="F40" s="27">
        <v>54692</v>
      </c>
      <c r="G40" s="27">
        <f>SUM(C40:F40)</f>
        <v>820790</v>
      </c>
      <c r="H40" s="7"/>
      <c r="I40" s="7"/>
    </row>
    <row r="41" spans="2:9" x14ac:dyDescent="0.25">
      <c r="B41" s="14" t="s">
        <v>36</v>
      </c>
      <c r="C41" s="27">
        <f>4320183341/1000000</f>
        <v>4320.1833409999999</v>
      </c>
      <c r="D41" s="27">
        <v>1105.52765</v>
      </c>
      <c r="E41" s="27">
        <v>406.3</v>
      </c>
      <c r="F41" s="27">
        <v>572.94314499999996</v>
      </c>
      <c r="G41" s="11">
        <f>SUM(C41:F41)</f>
        <v>6404.9541360000003</v>
      </c>
      <c r="H41" s="7"/>
      <c r="I41" s="7"/>
    </row>
    <row r="42" spans="2:9" x14ac:dyDescent="0.25">
      <c r="B42" s="37"/>
      <c r="C42" s="37"/>
      <c r="D42" s="37"/>
      <c r="E42" s="37"/>
      <c r="F42" s="37"/>
      <c r="G42" s="37"/>
      <c r="H42" s="37"/>
      <c r="I42" s="7"/>
    </row>
    <row r="43" spans="2:9" x14ac:dyDescent="0.25">
      <c r="B43" s="51" t="s">
        <v>37</v>
      </c>
      <c r="C43" s="51"/>
      <c r="D43" s="51"/>
      <c r="E43" s="51"/>
      <c r="F43" s="51"/>
      <c r="G43" s="51"/>
      <c r="I43" s="7"/>
    </row>
    <row r="44" spans="2:9" x14ac:dyDescent="0.25">
      <c r="B44" s="14" t="s">
        <v>38</v>
      </c>
      <c r="C44" s="27">
        <v>5</v>
      </c>
      <c r="D44" s="27">
        <v>4</v>
      </c>
      <c r="E44" s="27">
        <v>2</v>
      </c>
      <c r="F44" s="27">
        <v>1</v>
      </c>
      <c r="G44" s="27">
        <f>SUM(C44:F44)</f>
        <v>12</v>
      </c>
      <c r="H44" s="7"/>
      <c r="I44" s="7"/>
    </row>
    <row r="45" spans="2:9" x14ac:dyDescent="0.25">
      <c r="B45" s="14" t="s">
        <v>39</v>
      </c>
      <c r="C45" s="27">
        <f>4705925/1000000</f>
        <v>4.7059249999999997</v>
      </c>
      <c r="D45" s="27">
        <v>5.4905000000000002E-2</v>
      </c>
      <c r="E45" s="27">
        <v>2.3E-2</v>
      </c>
      <c r="F45" s="27">
        <v>0.121561</v>
      </c>
      <c r="G45" s="11">
        <f>SUM(C45:F45)</f>
        <v>4.9053909999999989</v>
      </c>
      <c r="H45" s="7"/>
      <c r="I45" s="7"/>
    </row>
    <row r="46" spans="2:9" x14ac:dyDescent="0.25">
      <c r="B46" s="37"/>
      <c r="C46" s="37"/>
      <c r="D46" s="37"/>
      <c r="E46" s="37"/>
      <c r="F46" s="37"/>
      <c r="G46" s="37"/>
      <c r="H46" s="37"/>
      <c r="I46" s="7"/>
    </row>
    <row r="47" spans="2:9" x14ac:dyDescent="0.25">
      <c r="B47" s="51" t="s">
        <v>40</v>
      </c>
      <c r="C47" s="51"/>
      <c r="D47" s="51"/>
      <c r="E47" s="51"/>
      <c r="F47" s="51"/>
      <c r="G47" s="51"/>
      <c r="I47" s="7"/>
    </row>
    <row r="48" spans="2:9" x14ac:dyDescent="0.25">
      <c r="B48" s="14" t="s">
        <v>41</v>
      </c>
      <c r="C48" s="27">
        <v>112282</v>
      </c>
      <c r="D48" s="27">
        <v>43183</v>
      </c>
      <c r="E48" s="27">
        <v>6513</v>
      </c>
      <c r="F48" s="27">
        <v>35238</v>
      </c>
      <c r="G48" s="27">
        <f>SUM(C48:F48)</f>
        <v>197216</v>
      </c>
      <c r="H48" s="7"/>
      <c r="I48" s="7"/>
    </row>
    <row r="49" spans="2:9" x14ac:dyDescent="0.25">
      <c r="B49" s="14" t="s">
        <v>42</v>
      </c>
      <c r="C49" s="27">
        <f>(62344579152+910811127)/1000000</f>
        <v>63255.390278999999</v>
      </c>
      <c r="D49" s="27">
        <v>19383</v>
      </c>
      <c r="E49" s="27">
        <v>7294.6896569999999</v>
      </c>
      <c r="F49" s="27">
        <v>8362.7640379999993</v>
      </c>
      <c r="G49" s="11">
        <f>SUM(C49:F49)</f>
        <v>98295.843973999989</v>
      </c>
      <c r="H49" s="7"/>
      <c r="I49" s="7"/>
    </row>
    <row r="50" spans="2:9" x14ac:dyDescent="0.25">
      <c r="B50" s="37"/>
      <c r="C50" s="37"/>
      <c r="D50" s="37"/>
      <c r="E50" s="37"/>
      <c r="F50" s="37"/>
      <c r="G50" s="37"/>
      <c r="H50" s="37"/>
    </row>
    <row r="51" spans="2:9" ht="21" x14ac:dyDescent="0.35">
      <c r="B51" s="41" t="s">
        <v>43</v>
      </c>
      <c r="C51" s="42"/>
      <c r="D51" s="42"/>
      <c r="E51" s="42"/>
      <c r="F51" s="42"/>
      <c r="G51" s="43"/>
    </row>
    <row r="52" spans="2:9" x14ac:dyDescent="0.25">
      <c r="B52" s="53"/>
      <c r="C52" s="53"/>
      <c r="D52" s="53"/>
      <c r="E52" s="53"/>
      <c r="F52" s="53"/>
      <c r="G52" s="53"/>
      <c r="H52" s="53"/>
    </row>
    <row r="53" spans="2:9" x14ac:dyDescent="0.25">
      <c r="B53" s="51" t="s">
        <v>44</v>
      </c>
      <c r="C53" s="51"/>
      <c r="D53" s="51"/>
      <c r="E53" s="51"/>
      <c r="F53" s="51"/>
      <c r="G53" s="51"/>
    </row>
    <row r="54" spans="2:9" x14ac:dyDescent="0.25">
      <c r="B54" s="54" t="s">
        <v>45</v>
      </c>
      <c r="C54" s="54"/>
      <c r="D54" s="54"/>
      <c r="E54" s="54"/>
      <c r="F54" s="54"/>
      <c r="G54" s="54"/>
    </row>
    <row r="55" spans="2:9" x14ac:dyDescent="0.25">
      <c r="B55" s="14" t="s">
        <v>46</v>
      </c>
      <c r="C55" s="27">
        <v>106794</v>
      </c>
      <c r="D55" s="27">
        <v>6683</v>
      </c>
      <c r="E55" s="27">
        <v>1134</v>
      </c>
      <c r="F55" s="27">
        <v>3893</v>
      </c>
      <c r="G55" s="27">
        <f t="shared" ref="G55:G71" si="0">SUM(C55:F55)</f>
        <v>118504</v>
      </c>
    </row>
    <row r="56" spans="2:9" x14ac:dyDescent="0.25">
      <c r="B56" s="14" t="s">
        <v>47</v>
      </c>
      <c r="C56" s="27">
        <v>83503</v>
      </c>
      <c r="D56" s="27">
        <v>10068.6490270001</v>
      </c>
      <c r="E56" s="27">
        <v>1801.141881</v>
      </c>
      <c r="F56" s="27">
        <v>5685</v>
      </c>
      <c r="G56" s="27">
        <f t="shared" si="0"/>
        <v>101057.7909080001</v>
      </c>
    </row>
    <row r="57" spans="2:9" x14ac:dyDescent="0.25">
      <c r="B57" s="14" t="s">
        <v>48</v>
      </c>
      <c r="C57" s="27">
        <v>15</v>
      </c>
      <c r="D57" s="27">
        <v>38</v>
      </c>
      <c r="E57" s="27">
        <v>20.00793650793651</v>
      </c>
      <c r="F57" s="27">
        <v>21</v>
      </c>
      <c r="G57" s="27">
        <f>AVERAGE(C57:F57)</f>
        <v>23.501984126984127</v>
      </c>
    </row>
    <row r="58" spans="2:9" x14ac:dyDescent="0.25">
      <c r="B58" s="14" t="s">
        <v>49</v>
      </c>
      <c r="C58" s="27">
        <v>1143927</v>
      </c>
      <c r="D58" s="27">
        <v>176676</v>
      </c>
      <c r="E58" s="27">
        <v>50441</v>
      </c>
      <c r="F58" s="27">
        <v>91685</v>
      </c>
      <c r="G58" s="27">
        <f t="shared" si="0"/>
        <v>1462729</v>
      </c>
    </row>
    <row r="59" spans="2:9" x14ac:dyDescent="0.25">
      <c r="B59" s="14" t="s">
        <v>50</v>
      </c>
      <c r="C59" s="27">
        <v>2479789</v>
      </c>
      <c r="D59" s="27">
        <v>357883.04297499999</v>
      </c>
      <c r="E59" s="27">
        <v>116937.047464</v>
      </c>
      <c r="F59" s="27">
        <v>236663</v>
      </c>
      <c r="G59" s="11">
        <f t="shared" si="0"/>
        <v>3191272.0904390002</v>
      </c>
    </row>
    <row r="60" spans="2:9" x14ac:dyDescent="0.25">
      <c r="B60" s="54" t="s">
        <v>51</v>
      </c>
      <c r="C60" s="54"/>
      <c r="D60" s="54"/>
      <c r="E60" s="54"/>
      <c r="F60" s="54"/>
      <c r="G60" s="54"/>
    </row>
    <row r="61" spans="2:9" x14ac:dyDescent="0.25">
      <c r="B61" s="14" t="s">
        <v>46</v>
      </c>
      <c r="C61" s="20">
        <v>0</v>
      </c>
      <c r="D61" s="14">
        <v>0</v>
      </c>
      <c r="E61" s="14">
        <v>0</v>
      </c>
      <c r="F61" s="20">
        <v>0</v>
      </c>
      <c r="G61" s="27">
        <f t="shared" si="0"/>
        <v>0</v>
      </c>
    </row>
    <row r="62" spans="2:9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9" x14ac:dyDescent="0.25">
      <c r="B63" s="14" t="s">
        <v>48</v>
      </c>
      <c r="C63" s="20">
        <v>0</v>
      </c>
      <c r="D63" s="24">
        <v>0</v>
      </c>
      <c r="E63" s="24">
        <v>0</v>
      </c>
      <c r="F63" s="20">
        <v>0</v>
      </c>
      <c r="G63" s="20">
        <v>0</v>
      </c>
    </row>
    <row r="64" spans="2:9" x14ac:dyDescent="0.25">
      <c r="B64" s="14" t="s">
        <v>49</v>
      </c>
      <c r="C64" s="20">
        <v>0</v>
      </c>
      <c r="D64" s="27">
        <v>0</v>
      </c>
      <c r="E64" s="27">
        <v>0</v>
      </c>
      <c r="F64" s="20">
        <v>0</v>
      </c>
      <c r="G64" s="27">
        <f t="shared" si="0"/>
        <v>0</v>
      </c>
    </row>
    <row r="65" spans="2:8" x14ac:dyDescent="0.25">
      <c r="B65" s="14" t="s">
        <v>50</v>
      </c>
      <c r="C65" s="20">
        <v>0</v>
      </c>
      <c r="D65" s="27">
        <v>0</v>
      </c>
      <c r="E65" s="27">
        <v>0</v>
      </c>
      <c r="F65" s="20">
        <v>0</v>
      </c>
      <c r="G65" s="11">
        <f t="shared" si="0"/>
        <v>0</v>
      </c>
    </row>
    <row r="66" spans="2:8" x14ac:dyDescent="0.25">
      <c r="B66" s="54" t="s">
        <v>52</v>
      </c>
      <c r="C66" s="54"/>
      <c r="D66" s="54"/>
      <c r="E66" s="54"/>
      <c r="F66" s="54"/>
      <c r="G66" s="54"/>
    </row>
    <row r="67" spans="2:8" x14ac:dyDescent="0.25">
      <c r="B67" s="14" t="s">
        <v>46</v>
      </c>
      <c r="C67" s="27">
        <v>4484</v>
      </c>
      <c r="D67" s="27">
        <v>2340</v>
      </c>
      <c r="E67" s="27">
        <v>2113</v>
      </c>
      <c r="F67" s="27">
        <v>6842</v>
      </c>
      <c r="G67" s="27">
        <f t="shared" si="0"/>
        <v>15779</v>
      </c>
    </row>
    <row r="68" spans="2:8" x14ac:dyDescent="0.25">
      <c r="B68" s="14" t="s">
        <v>47</v>
      </c>
      <c r="C68" s="27">
        <v>4246</v>
      </c>
      <c r="D68" s="27">
        <v>2562.37707000002</v>
      </c>
      <c r="E68" s="27">
        <v>3118.804474</v>
      </c>
      <c r="F68" s="27">
        <v>6748</v>
      </c>
      <c r="G68" s="27">
        <f t="shared" si="0"/>
        <v>16675.181544000021</v>
      </c>
    </row>
    <row r="69" spans="2:8" x14ac:dyDescent="0.25">
      <c r="B69" s="14" t="s">
        <v>48</v>
      </c>
      <c r="C69" s="27">
        <v>29</v>
      </c>
      <c r="D69" s="27">
        <v>53</v>
      </c>
      <c r="E69" s="27">
        <v>52.171793658305724</v>
      </c>
      <c r="F69" s="27">
        <v>40</v>
      </c>
      <c r="G69" s="27">
        <f>AVERAGE(C69:F69)</f>
        <v>43.542948414576429</v>
      </c>
    </row>
    <row r="70" spans="2:8" x14ac:dyDescent="0.25">
      <c r="B70" s="14" t="s">
        <v>49</v>
      </c>
      <c r="C70" s="27">
        <v>144092</v>
      </c>
      <c r="D70" s="27">
        <v>99508</v>
      </c>
      <c r="E70" s="27">
        <v>96074</v>
      </c>
      <c r="F70" s="27">
        <v>295038</v>
      </c>
      <c r="G70" s="27">
        <f t="shared" si="0"/>
        <v>634712</v>
      </c>
    </row>
    <row r="71" spans="2:8" x14ac:dyDescent="0.25">
      <c r="B71" s="14" t="s">
        <v>50</v>
      </c>
      <c r="C71" s="27">
        <v>169669</v>
      </c>
      <c r="D71" s="27">
        <v>119681.286935</v>
      </c>
      <c r="E71" s="27">
        <v>116856.61890099999</v>
      </c>
      <c r="F71" s="27">
        <v>313544</v>
      </c>
      <c r="G71" s="11">
        <f t="shared" si="0"/>
        <v>719750.90583599999</v>
      </c>
    </row>
    <row r="72" spans="2:8" x14ac:dyDescent="0.25">
      <c r="B72" s="55" t="s">
        <v>53</v>
      </c>
      <c r="C72" s="56"/>
      <c r="D72" s="56"/>
      <c r="E72" s="56"/>
      <c r="F72" s="56"/>
      <c r="G72" s="57"/>
    </row>
    <row r="73" spans="2:8" x14ac:dyDescent="0.25">
      <c r="B73" s="18" t="s">
        <v>54</v>
      </c>
      <c r="C73" s="19">
        <f>+C55+C67</f>
        <v>111278</v>
      </c>
      <c r="D73" s="19">
        <f>+D67+D61+D55</f>
        <v>9023</v>
      </c>
      <c r="E73" s="19">
        <v>3247</v>
      </c>
      <c r="F73" s="19">
        <f>+F55+F67</f>
        <v>10735</v>
      </c>
      <c r="G73" s="19">
        <f>SUM(C73:F73)</f>
        <v>134283</v>
      </c>
    </row>
    <row r="74" spans="2:8" x14ac:dyDescent="0.25">
      <c r="B74" s="18" t="s">
        <v>47</v>
      </c>
      <c r="C74" s="19">
        <f>+C56+C68</f>
        <v>87749</v>
      </c>
      <c r="D74" s="19">
        <f>+D68+D62+D56</f>
        <v>12631.02609700012</v>
      </c>
      <c r="E74" s="19">
        <v>4919.946355</v>
      </c>
      <c r="F74" s="19">
        <f>+F56+F68</f>
        <v>12433</v>
      </c>
      <c r="G74" s="22">
        <f>SUM(C74:F74)</f>
        <v>117732.97245200013</v>
      </c>
    </row>
    <row r="75" spans="2:8" x14ac:dyDescent="0.25">
      <c r="B75" s="18" t="s">
        <v>48</v>
      </c>
      <c r="C75" s="19">
        <v>16</v>
      </c>
      <c r="D75" s="19">
        <f>(+D57+D63+D69)/3</f>
        <v>30.333333333333332</v>
      </c>
      <c r="E75" s="19">
        <v>40.938712657838003</v>
      </c>
      <c r="F75" s="19">
        <f>(F57+F69)/2</f>
        <v>30.5</v>
      </c>
      <c r="G75" s="19">
        <f>AVERAGE(C75:F75)</f>
        <v>29.443011497792831</v>
      </c>
    </row>
    <row r="76" spans="2:8" x14ac:dyDescent="0.25">
      <c r="B76" s="18" t="s">
        <v>49</v>
      </c>
      <c r="C76" s="19">
        <f>+C58+C70</f>
        <v>1288019</v>
      </c>
      <c r="D76" s="19">
        <f t="shared" ref="D76" si="1">+D70+D64+D58</f>
        <v>276184</v>
      </c>
      <c r="E76" s="19">
        <v>146515</v>
      </c>
      <c r="F76" s="19">
        <f>+F58+F70</f>
        <v>386723</v>
      </c>
      <c r="G76" s="19">
        <f>SUM(C76:F76)</f>
        <v>2097441</v>
      </c>
    </row>
    <row r="77" spans="2:8" x14ac:dyDescent="0.25">
      <c r="B77" s="18" t="s">
        <v>50</v>
      </c>
      <c r="C77" s="19">
        <f>+C59+C71</f>
        <v>2649458</v>
      </c>
      <c r="D77" s="19">
        <f>+D71+D65+D59</f>
        <v>477564.32990999997</v>
      </c>
      <c r="E77" s="19">
        <v>233793.66636500001</v>
      </c>
      <c r="F77" s="19">
        <f>+F59+F71</f>
        <v>550207</v>
      </c>
      <c r="G77" s="22">
        <f>SUM(C77:F77)</f>
        <v>3911022.9962749998</v>
      </c>
    </row>
    <row r="78" spans="2:8" x14ac:dyDescent="0.25">
      <c r="B78" s="37"/>
      <c r="C78" s="37"/>
      <c r="D78" s="37"/>
      <c r="E78" s="37"/>
      <c r="F78" s="37"/>
      <c r="G78" s="37"/>
      <c r="H78" s="37"/>
    </row>
    <row r="79" spans="2:8" x14ac:dyDescent="0.25">
      <c r="B79" s="44" t="s">
        <v>55</v>
      </c>
      <c r="C79" s="45"/>
      <c r="D79" s="45"/>
      <c r="E79" s="45"/>
      <c r="F79" s="45"/>
      <c r="G79" s="46"/>
    </row>
    <row r="80" spans="2:8" x14ac:dyDescent="0.25">
      <c r="B80" s="47" t="s">
        <v>45</v>
      </c>
      <c r="C80" s="48"/>
      <c r="D80" s="48"/>
      <c r="E80" s="48"/>
      <c r="F80" s="48"/>
      <c r="G80" s="49"/>
    </row>
    <row r="81" spans="2:7" x14ac:dyDescent="0.25">
      <c r="B81" s="14" t="s">
        <v>46</v>
      </c>
      <c r="C81" s="24">
        <v>0</v>
      </c>
      <c r="D81" s="24">
        <v>0</v>
      </c>
      <c r="E81" s="24">
        <f t="shared" ref="E81:F81" si="2">SUM(A81:D81)</f>
        <v>0</v>
      </c>
      <c r="F81" s="24">
        <f t="shared" si="2"/>
        <v>0</v>
      </c>
      <c r="G81" s="20">
        <f>SUM(C81:F81)</f>
        <v>0</v>
      </c>
    </row>
    <row r="82" spans="2:7" x14ac:dyDescent="0.25">
      <c r="B82" s="14" t="s">
        <v>47</v>
      </c>
      <c r="C82" s="24">
        <v>0</v>
      </c>
      <c r="D82" s="24">
        <v>0</v>
      </c>
      <c r="E82" s="24">
        <f t="shared" ref="E82:F82" si="3">SUM(A82:D82)</f>
        <v>0</v>
      </c>
      <c r="F82" s="24">
        <f t="shared" si="3"/>
        <v>0</v>
      </c>
      <c r="G82" s="24">
        <f>SUM(C82:F82)</f>
        <v>0</v>
      </c>
    </row>
    <row r="83" spans="2:7" x14ac:dyDescent="0.25">
      <c r="B83" s="14" t="s">
        <v>48</v>
      </c>
      <c r="C83" s="24">
        <v>0</v>
      </c>
      <c r="D83" s="24">
        <v>0</v>
      </c>
      <c r="E83" s="24">
        <f t="shared" ref="E83:F83" si="4">SUM(A83:D83)</f>
        <v>0</v>
      </c>
      <c r="F83" s="24">
        <f t="shared" si="4"/>
        <v>0</v>
      </c>
      <c r="G83" s="24">
        <f>AVERAGE(C83:F83)</f>
        <v>0</v>
      </c>
    </row>
    <row r="84" spans="2:7" x14ac:dyDescent="0.25">
      <c r="B84" s="14" t="s">
        <v>49</v>
      </c>
      <c r="C84" s="24">
        <v>935</v>
      </c>
      <c r="D84" s="24">
        <v>107</v>
      </c>
      <c r="E84" s="24">
        <v>5</v>
      </c>
      <c r="F84" s="24">
        <v>84</v>
      </c>
      <c r="G84" s="24">
        <f>SUM(C84:F84)</f>
        <v>1131</v>
      </c>
    </row>
    <row r="85" spans="2:7" x14ac:dyDescent="0.25">
      <c r="B85" s="14" t="s">
        <v>50</v>
      </c>
      <c r="C85" s="24">
        <v>19664.405309999998</v>
      </c>
      <c r="D85" s="24">
        <v>1285</v>
      </c>
      <c r="E85" s="24">
        <v>58</v>
      </c>
      <c r="F85" s="24">
        <v>1479.9695099999999</v>
      </c>
      <c r="G85" s="11">
        <f>SUM(C85:F85)</f>
        <v>22487.374819999997</v>
      </c>
    </row>
    <row r="86" spans="2:7" x14ac:dyDescent="0.25">
      <c r="B86" s="47" t="s">
        <v>51</v>
      </c>
      <c r="C86" s="48"/>
      <c r="D86" s="48"/>
      <c r="E86" s="48"/>
      <c r="F86" s="48"/>
      <c r="G86" s="49"/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27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27">
        <f>SUM(C88:F88)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27">
        <f>AVERAGE(C89:F89)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27">
        <f>SUM(C90:F90)</f>
        <v>0</v>
      </c>
    </row>
    <row r="91" spans="2:7" x14ac:dyDescent="0.25">
      <c r="B91" s="14" t="s">
        <v>50</v>
      </c>
      <c r="C91" s="20">
        <v>0</v>
      </c>
      <c r="D91" s="14">
        <v>0</v>
      </c>
      <c r="E91" s="20">
        <v>0</v>
      </c>
      <c r="F91" s="24">
        <v>0</v>
      </c>
      <c r="G91" s="27">
        <f>SUM(C91:F91)</f>
        <v>0</v>
      </c>
    </row>
    <row r="92" spans="2:7" x14ac:dyDescent="0.25">
      <c r="B92" s="47" t="s">
        <v>52</v>
      </c>
      <c r="C92" s="48"/>
      <c r="D92" s="48"/>
      <c r="E92" s="48"/>
      <c r="F92" s="48"/>
      <c r="G92" s="49"/>
    </row>
    <row r="93" spans="2:7" x14ac:dyDescent="0.25">
      <c r="B93" s="14" t="s">
        <v>46</v>
      </c>
      <c r="C93" s="27">
        <v>0</v>
      </c>
      <c r="D93" s="27">
        <v>0</v>
      </c>
      <c r="E93" s="27">
        <v>0</v>
      </c>
      <c r="F93" s="27">
        <v>0</v>
      </c>
      <c r="G93" s="27">
        <f>SUM(C93:F93)</f>
        <v>0</v>
      </c>
    </row>
    <row r="94" spans="2:7" x14ac:dyDescent="0.25">
      <c r="B94" s="14" t="s">
        <v>47</v>
      </c>
      <c r="C94" s="27">
        <v>0</v>
      </c>
      <c r="D94" s="27">
        <v>0</v>
      </c>
      <c r="E94" s="27">
        <v>0</v>
      </c>
      <c r="F94" s="27">
        <v>0</v>
      </c>
      <c r="G94" s="27">
        <f>SUM(C94:F94)</f>
        <v>0</v>
      </c>
    </row>
    <row r="95" spans="2:7" x14ac:dyDescent="0.25">
      <c r="B95" s="14" t="s">
        <v>48</v>
      </c>
      <c r="C95" s="27">
        <v>0</v>
      </c>
      <c r="D95" s="27">
        <v>0</v>
      </c>
      <c r="E95" s="27">
        <v>0</v>
      </c>
      <c r="F95" s="27">
        <v>0</v>
      </c>
      <c r="G95" s="27">
        <f>AVERAGE(C95:F95)</f>
        <v>0</v>
      </c>
    </row>
    <row r="96" spans="2:7" x14ac:dyDescent="0.25">
      <c r="B96" s="14" t="s">
        <v>49</v>
      </c>
      <c r="C96" s="27">
        <v>9</v>
      </c>
      <c r="D96" s="27">
        <v>0</v>
      </c>
      <c r="E96" s="27">
        <v>0</v>
      </c>
      <c r="F96" s="27">
        <v>6</v>
      </c>
      <c r="G96" s="27">
        <f>SUM(C96:F96)</f>
        <v>15</v>
      </c>
    </row>
    <row r="97" spans="2:8" x14ac:dyDescent="0.25">
      <c r="B97" s="14" t="s">
        <v>50</v>
      </c>
      <c r="C97" s="27">
        <v>145.214753</v>
      </c>
      <c r="D97" s="27">
        <v>0</v>
      </c>
      <c r="E97" s="27">
        <v>0</v>
      </c>
      <c r="F97" s="27">
        <v>69.701348999999993</v>
      </c>
      <c r="G97" s="11">
        <f>SUM(C97:F97)</f>
        <v>214.916102</v>
      </c>
    </row>
    <row r="98" spans="2:8" x14ac:dyDescent="0.25">
      <c r="B98" s="55" t="s">
        <v>56</v>
      </c>
      <c r="C98" s="56"/>
      <c r="D98" s="56"/>
      <c r="E98" s="56"/>
      <c r="F98" s="56"/>
      <c r="G98" s="57"/>
    </row>
    <row r="99" spans="2:8" x14ac:dyDescent="0.25">
      <c r="B99" s="18" t="s">
        <v>46</v>
      </c>
      <c r="C99" s="19">
        <v>0</v>
      </c>
      <c r="D99" s="18">
        <v>0</v>
      </c>
      <c r="E99" s="19">
        <v>0</v>
      </c>
      <c r="F99" s="21">
        <v>0</v>
      </c>
      <c r="G99" s="19">
        <f>SUM(C99:F99)</f>
        <v>0</v>
      </c>
    </row>
    <row r="100" spans="2:8" x14ac:dyDescent="0.25">
      <c r="B100" s="18" t="s">
        <v>47</v>
      </c>
      <c r="C100" s="19">
        <v>0</v>
      </c>
      <c r="D100" s="18">
        <v>0</v>
      </c>
      <c r="E100" s="19">
        <v>0</v>
      </c>
      <c r="F100" s="21">
        <v>0</v>
      </c>
      <c r="G100" s="22">
        <f>SUM(C100:F100)</f>
        <v>0</v>
      </c>
    </row>
    <row r="101" spans="2:8" x14ac:dyDescent="0.25">
      <c r="B101" s="18" t="s">
        <v>48</v>
      </c>
      <c r="C101" s="19">
        <v>0</v>
      </c>
      <c r="D101" s="18">
        <v>0</v>
      </c>
      <c r="E101" s="19">
        <v>0</v>
      </c>
      <c r="F101" s="21">
        <v>0</v>
      </c>
      <c r="G101" s="19">
        <f>AVERAGE(C101:F101)</f>
        <v>0</v>
      </c>
    </row>
    <row r="102" spans="2:8" x14ac:dyDescent="0.25">
      <c r="B102" s="18" t="s">
        <v>49</v>
      </c>
      <c r="C102" s="19">
        <f>+C96+C84</f>
        <v>944</v>
      </c>
      <c r="D102" s="19">
        <f t="shared" ref="D102:D103" si="5">+D96+D90+D84</f>
        <v>107</v>
      </c>
      <c r="E102" s="19">
        <f>+E84</f>
        <v>5</v>
      </c>
      <c r="F102" s="19">
        <f>+F96+F84</f>
        <v>90</v>
      </c>
      <c r="G102" s="19">
        <f>SUM(C102:F102)</f>
        <v>1146</v>
      </c>
    </row>
    <row r="103" spans="2:8" x14ac:dyDescent="0.25">
      <c r="B103" s="18" t="s">
        <v>50</v>
      </c>
      <c r="C103" s="19">
        <f>+C97+C85</f>
        <v>19809.620062999998</v>
      </c>
      <c r="D103" s="19">
        <f t="shared" si="5"/>
        <v>1285</v>
      </c>
      <c r="E103" s="19">
        <f>+E85</f>
        <v>58</v>
      </c>
      <c r="F103" s="19">
        <f>+F85+F97</f>
        <v>1549.6708589999998</v>
      </c>
      <c r="G103" s="22">
        <f>SUM(C103:F103)</f>
        <v>22702.290922</v>
      </c>
    </row>
    <row r="104" spans="2:8" x14ac:dyDescent="0.25">
      <c r="B104" s="37"/>
      <c r="C104" s="37"/>
      <c r="D104" s="37"/>
      <c r="E104" s="37"/>
      <c r="F104" s="37"/>
      <c r="G104" s="37"/>
      <c r="H104" s="37"/>
    </row>
    <row r="105" spans="2:8" x14ac:dyDescent="0.25">
      <c r="B105" s="51" t="s">
        <v>57</v>
      </c>
      <c r="C105" s="51"/>
      <c r="D105" s="51"/>
      <c r="E105" s="51"/>
      <c r="F105" s="51"/>
      <c r="G105" s="51"/>
    </row>
    <row r="106" spans="2:8" x14ac:dyDescent="0.25">
      <c r="B106" s="54" t="s">
        <v>58</v>
      </c>
      <c r="C106" s="54"/>
      <c r="D106" s="54"/>
      <c r="E106" s="54"/>
      <c r="F106" s="54"/>
      <c r="G106" s="54"/>
    </row>
    <row r="107" spans="2:8" x14ac:dyDescent="0.25">
      <c r="B107" s="14" t="s">
        <v>59</v>
      </c>
      <c r="C107" s="13">
        <v>2.4318826334798485</v>
      </c>
      <c r="D107" s="13">
        <v>2.5499999999999998</v>
      </c>
      <c r="E107" s="13">
        <v>2.7385882352941202</v>
      </c>
      <c r="F107" s="13">
        <v>2.54</v>
      </c>
      <c r="G107" s="13">
        <f>AVERAGE(C107:F107)</f>
        <v>2.565117717193492</v>
      </c>
    </row>
    <row r="108" spans="2:8" x14ac:dyDescent="0.25">
      <c r="B108" s="14" t="s">
        <v>60</v>
      </c>
      <c r="C108" s="13">
        <v>2.2787255675345337</v>
      </c>
      <c r="D108" s="13">
        <v>2.56</v>
      </c>
      <c r="E108" s="13">
        <v>2.6156809338521403</v>
      </c>
      <c r="F108" s="13">
        <v>2.54</v>
      </c>
      <c r="G108" s="13">
        <f>AVERAGE(C108:F108)</f>
        <v>2.4986016253466685</v>
      </c>
    </row>
    <row r="109" spans="2:8" x14ac:dyDescent="0.25">
      <c r="B109" s="14" t="s">
        <v>61</v>
      </c>
      <c r="C109" s="13">
        <v>2.1524755926881425</v>
      </c>
      <c r="D109" s="13">
        <v>2.56</v>
      </c>
      <c r="E109" s="13">
        <v>2.579116465863454</v>
      </c>
      <c r="F109" s="13">
        <v>2.54</v>
      </c>
      <c r="G109" s="13">
        <f>AVERAGE(C109:F109)</f>
        <v>2.457898014637899</v>
      </c>
    </row>
    <row r="110" spans="2:8" x14ac:dyDescent="0.25">
      <c r="B110" s="54" t="s">
        <v>62</v>
      </c>
      <c r="C110" s="54"/>
      <c r="D110" s="54"/>
      <c r="E110" s="54"/>
      <c r="F110" s="54"/>
      <c r="G110" s="54"/>
    </row>
    <row r="111" spans="2:8" x14ac:dyDescent="0.25">
      <c r="B111" s="14" t="s">
        <v>59</v>
      </c>
      <c r="C111" s="13">
        <v>1.5499999999999985</v>
      </c>
      <c r="D111" s="13">
        <v>1.95</v>
      </c>
      <c r="E111" s="13">
        <v>1.9</v>
      </c>
      <c r="F111" s="13">
        <v>2.0699999999999998</v>
      </c>
      <c r="G111" s="13">
        <f>AVERAGE(C111:F111)</f>
        <v>1.8674999999999997</v>
      </c>
    </row>
    <row r="112" spans="2:8" x14ac:dyDescent="0.25">
      <c r="B112" s="14" t="s">
        <v>60</v>
      </c>
      <c r="C112" s="13">
        <v>1.5499999999999996</v>
      </c>
      <c r="D112" s="13">
        <v>2.09</v>
      </c>
      <c r="E112" s="13">
        <v>2.0699999999999998</v>
      </c>
      <c r="F112" s="13">
        <v>2.0699999999999998</v>
      </c>
      <c r="G112" s="13">
        <f>AVERAGE(C112:F112)</f>
        <v>1.9449999999999998</v>
      </c>
    </row>
    <row r="113" spans="2:9" x14ac:dyDescent="0.25">
      <c r="B113" s="14" t="s">
        <v>61</v>
      </c>
      <c r="C113" s="13">
        <v>1.8794778481012877</v>
      </c>
      <c r="D113" s="13">
        <v>2.09</v>
      </c>
      <c r="E113" s="13">
        <v>2.0687777777777776</v>
      </c>
      <c r="F113" s="13">
        <v>2.0699999999999998</v>
      </c>
      <c r="G113" s="13">
        <f>AVERAGE(C113:F113)</f>
        <v>2.0270639064697664</v>
      </c>
    </row>
    <row r="114" spans="2:9" x14ac:dyDescent="0.25">
      <c r="B114" s="37"/>
      <c r="C114" s="37"/>
      <c r="D114" s="37"/>
      <c r="E114" s="37"/>
      <c r="F114" s="37"/>
      <c r="G114" s="37"/>
      <c r="H114" s="37"/>
      <c r="I114" s="37"/>
    </row>
    <row r="115" spans="2:9" x14ac:dyDescent="0.25">
      <c r="B115" s="54" t="s">
        <v>63</v>
      </c>
      <c r="C115" s="54"/>
      <c r="D115" s="54"/>
      <c r="E115" s="54"/>
      <c r="F115" s="54"/>
      <c r="G115" s="54"/>
    </row>
    <row r="116" spans="2:9" x14ac:dyDescent="0.25">
      <c r="B116" s="14" t="s">
        <v>59</v>
      </c>
      <c r="C116" s="13">
        <v>1.5566817838246889</v>
      </c>
      <c r="D116" s="13">
        <v>1.79</v>
      </c>
      <c r="E116" s="13">
        <v>1.8</v>
      </c>
      <c r="F116" s="13">
        <v>1.79</v>
      </c>
      <c r="G116" s="13">
        <f>AVERAGE(C116:F116)</f>
        <v>1.7341704459561722</v>
      </c>
    </row>
    <row r="117" spans="2:9" x14ac:dyDescent="0.25">
      <c r="B117" s="14" t="s">
        <v>60</v>
      </c>
      <c r="C117" s="13">
        <v>1.7546360856269658</v>
      </c>
      <c r="D117" s="13">
        <v>1.79</v>
      </c>
      <c r="E117" s="13">
        <v>1.8</v>
      </c>
      <c r="F117" s="13">
        <v>1.79</v>
      </c>
      <c r="G117" s="13">
        <f>AVERAGE(C117:F117)</f>
        <v>1.7836590214067414</v>
      </c>
    </row>
    <row r="118" spans="2:9" x14ac:dyDescent="0.25">
      <c r="B118" s="14" t="s">
        <v>61</v>
      </c>
      <c r="C118" s="13">
        <v>1.7088022813688024</v>
      </c>
      <c r="D118" s="13">
        <v>1.74</v>
      </c>
      <c r="E118" s="13">
        <v>1.7796287821001782</v>
      </c>
      <c r="F118" s="13">
        <v>1.74</v>
      </c>
      <c r="G118" s="13">
        <f>AVERAGE(C118:F118)</f>
        <v>1.7421077658672453</v>
      </c>
    </row>
    <row r="119" spans="2:9" x14ac:dyDescent="0.25">
      <c r="B119" s="47" t="s">
        <v>64</v>
      </c>
      <c r="C119" s="48"/>
      <c r="D119" s="48"/>
      <c r="E119" s="48"/>
      <c r="F119" s="48"/>
      <c r="G119" s="49"/>
    </row>
    <row r="120" spans="2:9" x14ac:dyDescent="0.25">
      <c r="B120" s="14" t="s">
        <v>59</v>
      </c>
      <c r="C120" s="13">
        <v>0</v>
      </c>
      <c r="D120" s="13">
        <v>1.43</v>
      </c>
      <c r="E120" s="13">
        <v>0</v>
      </c>
      <c r="F120" s="13">
        <v>1.43</v>
      </c>
      <c r="G120" s="13">
        <f>AVERAGE(C120:F120)</f>
        <v>0.71499999999999997</v>
      </c>
    </row>
    <row r="121" spans="2:9" x14ac:dyDescent="0.25">
      <c r="B121" s="14" t="s">
        <v>60</v>
      </c>
      <c r="C121" s="13">
        <v>1.34</v>
      </c>
      <c r="D121" s="13">
        <v>1.43</v>
      </c>
      <c r="E121" s="13">
        <v>1.45</v>
      </c>
      <c r="F121" s="13">
        <v>1.43</v>
      </c>
      <c r="G121" s="13">
        <f>AVERAGE(C121:F121)</f>
        <v>1.4124999999999999</v>
      </c>
    </row>
    <row r="122" spans="2:9" x14ac:dyDescent="0.25">
      <c r="B122" s="14" t="s">
        <v>61</v>
      </c>
      <c r="C122" s="13">
        <v>1.43</v>
      </c>
      <c r="D122" s="13">
        <v>1.43</v>
      </c>
      <c r="E122" s="13">
        <v>1.46</v>
      </c>
      <c r="F122" s="13">
        <v>1.43</v>
      </c>
      <c r="G122" s="13">
        <f>AVERAGE(C122:F122)</f>
        <v>1.4375</v>
      </c>
    </row>
    <row r="123" spans="2:9" x14ac:dyDescent="0.25">
      <c r="B123" s="37"/>
      <c r="C123" s="37"/>
      <c r="D123" s="37"/>
      <c r="E123" s="37"/>
      <c r="F123" s="37"/>
      <c r="G123" s="37"/>
      <c r="H123" s="37"/>
    </row>
    <row r="124" spans="2:9" x14ac:dyDescent="0.25">
      <c r="B124" s="44" t="s">
        <v>65</v>
      </c>
      <c r="C124" s="45"/>
      <c r="D124" s="45"/>
      <c r="E124" s="45"/>
      <c r="F124" s="45"/>
      <c r="G124" s="46"/>
    </row>
    <row r="125" spans="2:9" x14ac:dyDescent="0.25">
      <c r="B125" s="2" t="s">
        <v>66</v>
      </c>
      <c r="C125" s="13">
        <v>0</v>
      </c>
      <c r="D125" s="26">
        <v>0</v>
      </c>
      <c r="E125" s="20">
        <v>0</v>
      </c>
      <c r="F125" s="20">
        <v>0</v>
      </c>
      <c r="G125" s="11">
        <f>AVERAGE(C125:F125)</f>
        <v>0</v>
      </c>
    </row>
    <row r="126" spans="2:9" x14ac:dyDescent="0.25">
      <c r="B126" s="44" t="s">
        <v>67</v>
      </c>
      <c r="C126" s="45"/>
      <c r="D126" s="45"/>
      <c r="E126" s="45"/>
      <c r="F126" s="45"/>
      <c r="G126" s="46"/>
    </row>
    <row r="127" spans="2:9" x14ac:dyDescent="0.25">
      <c r="B127" s="3" t="s">
        <v>68</v>
      </c>
      <c r="C127" s="13">
        <v>2.09</v>
      </c>
      <c r="D127" s="30">
        <v>2.1427320000000001</v>
      </c>
      <c r="E127" s="13">
        <v>2.1216501012179254</v>
      </c>
      <c r="F127" s="11">
        <v>0</v>
      </c>
      <c r="G127" s="11">
        <f>AVERAGE(C127:E127)</f>
        <v>2.1181273670726419</v>
      </c>
    </row>
    <row r="128" spans="2:9" x14ac:dyDescent="0.25">
      <c r="B128" s="58"/>
      <c r="C128" s="58"/>
      <c r="D128" s="58"/>
      <c r="E128" s="58"/>
      <c r="F128" s="58"/>
      <c r="G128" s="58"/>
      <c r="H128" s="58"/>
    </row>
    <row r="129" spans="2:9" x14ac:dyDescent="0.25">
      <c r="B129" s="51" t="s">
        <v>69</v>
      </c>
      <c r="C129" s="51"/>
      <c r="D129" s="51"/>
      <c r="E129" s="51"/>
      <c r="F129" s="51"/>
      <c r="G129" s="51"/>
    </row>
    <row r="130" spans="2:9" x14ac:dyDescent="0.25">
      <c r="B130" s="14" t="s">
        <v>70</v>
      </c>
      <c r="C130" s="27">
        <v>259279</v>
      </c>
      <c r="D130" s="27">
        <v>3357</v>
      </c>
      <c r="E130" s="27">
        <v>6074</v>
      </c>
      <c r="F130" s="27">
        <v>753</v>
      </c>
      <c r="G130" s="27">
        <f>SUM(C130:F130)</f>
        <v>269463</v>
      </c>
    </row>
    <row r="131" spans="2:9" x14ac:dyDescent="0.25">
      <c r="B131" s="14" t="s">
        <v>71</v>
      </c>
      <c r="C131" s="27">
        <v>161526.46417799999</v>
      </c>
      <c r="D131" s="27">
        <v>3580</v>
      </c>
      <c r="E131" s="27">
        <v>801235</v>
      </c>
      <c r="F131" s="27">
        <v>789.94138399999997</v>
      </c>
      <c r="G131" s="11">
        <f>SUM(C131:F131)</f>
        <v>967131.405562</v>
      </c>
    </row>
    <row r="132" spans="2:9" x14ac:dyDescent="0.25">
      <c r="B132" s="37"/>
      <c r="C132" s="37"/>
      <c r="D132" s="37"/>
      <c r="E132" s="37"/>
      <c r="F132" s="37"/>
      <c r="G132" s="37"/>
      <c r="H132" s="37"/>
    </row>
    <row r="133" spans="2:9" x14ac:dyDescent="0.25">
      <c r="B133" s="51" t="s">
        <v>72</v>
      </c>
      <c r="C133" s="51"/>
      <c r="D133" s="51"/>
      <c r="E133" s="51"/>
      <c r="F133" s="51"/>
      <c r="G133" s="51"/>
    </row>
    <row r="134" spans="2:9" x14ac:dyDescent="0.25">
      <c r="B134" s="14" t="s">
        <v>73</v>
      </c>
      <c r="C134" s="27">
        <v>402502</v>
      </c>
      <c r="D134" s="27">
        <v>429823</v>
      </c>
      <c r="E134" s="27">
        <v>169042</v>
      </c>
      <c r="F134" s="27">
        <v>393008</v>
      </c>
      <c r="G134" s="27">
        <f>SUM(C134:F134)</f>
        <v>1394375</v>
      </c>
    </row>
    <row r="135" spans="2:9" x14ac:dyDescent="0.25">
      <c r="B135" s="37"/>
      <c r="C135" s="37"/>
      <c r="D135" s="37"/>
      <c r="E135" s="37"/>
      <c r="F135" s="37"/>
      <c r="G135" s="37"/>
      <c r="H135" s="37"/>
    </row>
    <row r="136" spans="2:9" ht="21" x14ac:dyDescent="0.35">
      <c r="B136" s="59" t="s">
        <v>74</v>
      </c>
      <c r="C136" s="59"/>
      <c r="D136" s="59"/>
      <c r="E136" s="59"/>
      <c r="F136" s="59"/>
      <c r="G136" s="59"/>
    </row>
    <row r="137" spans="2:9" x14ac:dyDescent="0.25">
      <c r="B137" s="51" t="s">
        <v>75</v>
      </c>
      <c r="C137" s="51"/>
      <c r="D137" s="51"/>
      <c r="E137" s="51"/>
      <c r="F137" s="51"/>
      <c r="G137" s="51"/>
    </row>
    <row r="138" spans="2:9" x14ac:dyDescent="0.25">
      <c r="B138" s="14" t="s">
        <v>76</v>
      </c>
      <c r="C138" s="27">
        <v>0</v>
      </c>
      <c r="D138" s="27">
        <v>0</v>
      </c>
      <c r="E138" s="27">
        <v>0</v>
      </c>
      <c r="F138" s="27">
        <v>14129</v>
      </c>
      <c r="G138" s="27">
        <f>SUM(C138:F138)</f>
        <v>14129</v>
      </c>
      <c r="H138" s="7"/>
      <c r="I138" s="7"/>
    </row>
    <row r="139" spans="2:9" x14ac:dyDescent="0.25">
      <c r="B139" s="14" t="s">
        <v>77</v>
      </c>
      <c r="C139" s="27">
        <v>0</v>
      </c>
      <c r="D139" s="27">
        <v>0</v>
      </c>
      <c r="E139" s="27">
        <v>0</v>
      </c>
      <c r="F139" s="27">
        <v>100</v>
      </c>
      <c r="G139" s="27">
        <f>SUM(C139:F139)</f>
        <v>100</v>
      </c>
      <c r="H139" s="7"/>
      <c r="I139" s="7"/>
    </row>
    <row r="140" spans="2:9" x14ac:dyDescent="0.25">
      <c r="B140" s="37"/>
      <c r="C140" s="37"/>
      <c r="D140" s="37"/>
      <c r="E140" s="37"/>
      <c r="F140" s="37"/>
      <c r="G140" s="37"/>
      <c r="H140" s="37"/>
      <c r="I140" s="7"/>
    </row>
    <row r="141" spans="2:9" x14ac:dyDescent="0.25">
      <c r="B141" s="37"/>
      <c r="C141" s="37"/>
      <c r="D141" s="37"/>
      <c r="E141" s="37"/>
      <c r="F141" s="37"/>
      <c r="G141" s="37"/>
      <c r="H141" s="37"/>
    </row>
    <row r="142" spans="2:9" ht="21" x14ac:dyDescent="0.35">
      <c r="B142" s="41" t="s">
        <v>78</v>
      </c>
      <c r="C142" s="42"/>
      <c r="D142" s="42"/>
      <c r="E142" s="42"/>
      <c r="F142" s="42"/>
      <c r="G142" s="43"/>
    </row>
    <row r="143" spans="2:9" x14ac:dyDescent="0.25">
      <c r="B143" s="44" t="s">
        <v>79</v>
      </c>
      <c r="C143" s="45"/>
      <c r="D143" s="45"/>
      <c r="E143" s="45"/>
      <c r="F143" s="45"/>
      <c r="G143" s="46"/>
    </row>
    <row r="144" spans="2:9" x14ac:dyDescent="0.25">
      <c r="B144" s="37"/>
      <c r="C144" s="37"/>
      <c r="D144" s="37"/>
      <c r="E144" s="37"/>
      <c r="F144" s="37"/>
      <c r="G144" s="37"/>
      <c r="H144" s="37"/>
    </row>
    <row r="145" spans="2:8" x14ac:dyDescent="0.25">
      <c r="B145" s="54" t="s">
        <v>80</v>
      </c>
      <c r="C145" s="54"/>
      <c r="D145" s="54"/>
      <c r="E145" s="54"/>
      <c r="F145" s="54"/>
      <c r="G145" s="54"/>
    </row>
    <row r="146" spans="2:8" x14ac:dyDescent="0.25">
      <c r="B146" s="14" t="s">
        <v>81</v>
      </c>
      <c r="C146" s="27">
        <v>0</v>
      </c>
      <c r="D146" s="27">
        <v>2274</v>
      </c>
      <c r="E146" s="27">
        <v>0</v>
      </c>
      <c r="F146" s="27">
        <v>1101</v>
      </c>
      <c r="G146" s="27">
        <f>SUM(C146:F146)</f>
        <v>3375</v>
      </c>
    </row>
    <row r="147" spans="2:8" x14ac:dyDescent="0.25">
      <c r="B147" s="14" t="s">
        <v>82</v>
      </c>
      <c r="C147" s="27">
        <v>0</v>
      </c>
      <c r="D147" s="27">
        <v>50.247999999999998</v>
      </c>
      <c r="E147" s="27">
        <v>0</v>
      </c>
      <c r="F147" s="27">
        <v>13.297499999999999</v>
      </c>
      <c r="G147" s="11">
        <f>SUM(C147:F147)</f>
        <v>63.545499999999997</v>
      </c>
    </row>
    <row r="148" spans="2:8" x14ac:dyDescent="0.25">
      <c r="B148" s="37"/>
      <c r="C148" s="37"/>
      <c r="D148" s="37"/>
      <c r="E148" s="37"/>
      <c r="F148" s="37"/>
      <c r="G148" s="37"/>
      <c r="H148" s="37"/>
    </row>
    <row r="149" spans="2:8" x14ac:dyDescent="0.25">
      <c r="B149" s="54" t="s">
        <v>83</v>
      </c>
      <c r="C149" s="54"/>
      <c r="D149" s="54"/>
      <c r="E149" s="54"/>
      <c r="F149" s="54"/>
      <c r="G149" s="54"/>
    </row>
    <row r="150" spans="2:8" x14ac:dyDescent="0.25">
      <c r="B150" s="14" t="s">
        <v>84</v>
      </c>
      <c r="C150" s="27">
        <v>0</v>
      </c>
      <c r="D150" s="29">
        <v>0</v>
      </c>
      <c r="E150" s="27">
        <v>0</v>
      </c>
      <c r="F150" s="27">
        <v>0</v>
      </c>
      <c r="G150" s="27">
        <f>SUM(C150:F150)</f>
        <v>0</v>
      </c>
      <c r="H150"/>
    </row>
    <row r="151" spans="2:8" x14ac:dyDescent="0.25">
      <c r="B151" s="14" t="s">
        <v>85</v>
      </c>
      <c r="C151" s="27">
        <v>0</v>
      </c>
      <c r="D151" s="29">
        <v>2.1999999999999999E-2</v>
      </c>
      <c r="E151" s="27">
        <v>0</v>
      </c>
      <c r="F151" s="27">
        <v>0</v>
      </c>
      <c r="G151" s="11">
        <f>SUM(C151:F151)</f>
        <v>2.1999999999999999E-2</v>
      </c>
      <c r="H151"/>
    </row>
    <row r="152" spans="2:8" x14ac:dyDescent="0.25">
      <c r="B152" s="37"/>
      <c r="C152" s="37"/>
      <c r="D152" s="37"/>
      <c r="E152" s="37"/>
      <c r="F152" s="37"/>
      <c r="G152" s="37"/>
      <c r="H152" s="37"/>
    </row>
    <row r="153" spans="2:8" x14ac:dyDescent="0.25">
      <c r="B153" s="54" t="s">
        <v>86</v>
      </c>
      <c r="C153" s="54"/>
      <c r="D153" s="54"/>
      <c r="E153" s="54"/>
      <c r="F153" s="54"/>
      <c r="G153" s="54"/>
    </row>
    <row r="154" spans="2:8" x14ac:dyDescent="0.25">
      <c r="B154" s="14" t="s">
        <v>87</v>
      </c>
      <c r="C154" s="14">
        <v>0</v>
      </c>
      <c r="D154" s="27">
        <v>53</v>
      </c>
      <c r="E154" s="27">
        <v>0</v>
      </c>
      <c r="F154" s="27">
        <v>0</v>
      </c>
      <c r="G154" s="27">
        <f>SUM(C154:F154)</f>
        <v>53</v>
      </c>
      <c r="H154"/>
    </row>
    <row r="155" spans="2:8" x14ac:dyDescent="0.25">
      <c r="B155" s="14" t="s">
        <v>88</v>
      </c>
      <c r="C155" s="11">
        <v>0</v>
      </c>
      <c r="D155" s="27">
        <v>1.0900000000000001</v>
      </c>
      <c r="E155" s="27">
        <v>0.09</v>
      </c>
      <c r="F155" s="27">
        <v>0</v>
      </c>
      <c r="G155" s="11">
        <f>SUM(C155:F155)</f>
        <v>1.1800000000000002</v>
      </c>
      <c r="H155"/>
    </row>
    <row r="156" spans="2:8" x14ac:dyDescent="0.25">
      <c r="B156" s="37"/>
      <c r="C156" s="37"/>
      <c r="D156" s="37"/>
      <c r="E156" s="37"/>
      <c r="F156" s="37"/>
      <c r="G156" s="37"/>
      <c r="H156" s="37"/>
    </row>
    <row r="157" spans="2:8" x14ac:dyDescent="0.25">
      <c r="B157" s="47" t="s">
        <v>89</v>
      </c>
      <c r="C157" s="48"/>
      <c r="D157" s="48"/>
      <c r="E157" s="48"/>
      <c r="F157" s="48"/>
      <c r="G157" s="49"/>
    </row>
    <row r="158" spans="2:8" x14ac:dyDescent="0.25">
      <c r="B158" s="18" t="s">
        <v>90</v>
      </c>
      <c r="C158" s="19">
        <v>0</v>
      </c>
      <c r="D158" s="19">
        <f>D146+D150+D154</f>
        <v>2327</v>
      </c>
      <c r="E158" s="19">
        <v>0</v>
      </c>
      <c r="F158" s="19">
        <f t="shared" ref="F158:F159" si="6">+F146+F154</f>
        <v>1101</v>
      </c>
      <c r="G158" s="19">
        <f>SUM(C158:F158)</f>
        <v>3428</v>
      </c>
    </row>
    <row r="159" spans="2:8" x14ac:dyDescent="0.25">
      <c r="B159" s="18" t="s">
        <v>91</v>
      </c>
      <c r="C159" s="19">
        <v>0</v>
      </c>
      <c r="D159" s="19">
        <f>D147+D151+D155</f>
        <v>51.36</v>
      </c>
      <c r="E159" s="19">
        <v>0.09</v>
      </c>
      <c r="F159" s="19">
        <f t="shared" si="6"/>
        <v>13.297499999999999</v>
      </c>
      <c r="G159" s="22">
        <f>SUM(C159:F159)</f>
        <v>64.747500000000002</v>
      </c>
    </row>
    <row r="160" spans="2:8" x14ac:dyDescent="0.25">
      <c r="B160" s="37"/>
      <c r="C160" s="37"/>
      <c r="D160" s="37"/>
      <c r="E160" s="37"/>
      <c r="F160" s="37"/>
      <c r="G160" s="37"/>
      <c r="H160" s="37"/>
    </row>
    <row r="161" spans="2:8" x14ac:dyDescent="0.25">
      <c r="B161" s="51" t="s">
        <v>92</v>
      </c>
      <c r="C161" s="51"/>
      <c r="D161" s="51"/>
      <c r="E161" s="51"/>
      <c r="F161" s="51"/>
      <c r="G161" s="51"/>
    </row>
    <row r="162" spans="2:8" x14ac:dyDescent="0.25">
      <c r="B162" s="14" t="s">
        <v>87</v>
      </c>
      <c r="C162" s="27">
        <v>2595</v>
      </c>
      <c r="D162" s="27">
        <v>7374</v>
      </c>
      <c r="E162" s="27">
        <v>5937</v>
      </c>
      <c r="F162" s="27">
        <v>23138</v>
      </c>
      <c r="G162" s="27">
        <f>SUM(C162:F162)</f>
        <v>39044</v>
      </c>
    </row>
    <row r="163" spans="2:8" x14ac:dyDescent="0.25">
      <c r="B163" s="14" t="s">
        <v>88</v>
      </c>
      <c r="C163" s="27">
        <f>58863300/1000000</f>
        <v>58.863300000000002</v>
      </c>
      <c r="D163" s="27">
        <v>34.590145</v>
      </c>
      <c r="E163" s="27">
        <v>108.64098799999999</v>
      </c>
      <c r="F163" s="27">
        <v>121.00381899999999</v>
      </c>
      <c r="G163" s="11">
        <f>SUM(C163:F163)</f>
        <v>323.098252</v>
      </c>
    </row>
    <row r="164" spans="2:8" x14ac:dyDescent="0.25">
      <c r="B164" s="37"/>
      <c r="C164" s="37"/>
      <c r="D164" s="37"/>
      <c r="E164" s="37"/>
      <c r="F164" s="37"/>
      <c r="G164" s="37"/>
    </row>
    <row r="165" spans="2:8" x14ac:dyDescent="0.25">
      <c r="B165" s="44" t="s">
        <v>93</v>
      </c>
      <c r="C165" s="45"/>
      <c r="D165" s="45"/>
      <c r="E165" s="45"/>
      <c r="F165" s="45"/>
      <c r="G165" s="46"/>
    </row>
    <row r="166" spans="2:8" x14ac:dyDescent="0.25">
      <c r="B166" s="47" t="s">
        <v>94</v>
      </c>
      <c r="C166" s="48"/>
      <c r="D166" s="48"/>
      <c r="E166" s="48"/>
      <c r="F166" s="48"/>
      <c r="G166" s="49"/>
    </row>
    <row r="167" spans="2:8" x14ac:dyDescent="0.25">
      <c r="B167" s="14" t="s">
        <v>95</v>
      </c>
      <c r="C167" s="27">
        <v>1320</v>
      </c>
      <c r="D167" s="27">
        <v>3125</v>
      </c>
      <c r="E167" s="27">
        <v>101</v>
      </c>
      <c r="F167" s="27">
        <v>657</v>
      </c>
      <c r="G167" s="27">
        <f>SUM(C167:F167)</f>
        <v>5203</v>
      </c>
    </row>
    <row r="168" spans="2:8" x14ac:dyDescent="0.25">
      <c r="B168" s="14" t="s">
        <v>96</v>
      </c>
      <c r="C168" s="27">
        <f>46200000/1000000</f>
        <v>46.2</v>
      </c>
      <c r="D168" s="27">
        <v>66.575000000000003</v>
      </c>
      <c r="E168" s="27">
        <v>2.5</v>
      </c>
      <c r="F168" s="27">
        <v>22.7</v>
      </c>
      <c r="G168" s="11">
        <f>SUM(C168:F168)</f>
        <v>137.97499999999999</v>
      </c>
    </row>
    <row r="169" spans="2:8" x14ac:dyDescent="0.25">
      <c r="B169" s="37"/>
      <c r="C169" s="37"/>
      <c r="D169" s="37"/>
      <c r="E169" s="37"/>
      <c r="F169" s="37"/>
      <c r="G169" s="37"/>
    </row>
    <row r="170" spans="2:8" x14ac:dyDescent="0.25">
      <c r="B170" s="47" t="s">
        <v>97</v>
      </c>
      <c r="C170" s="48"/>
      <c r="D170" s="48"/>
      <c r="E170" s="48"/>
      <c r="F170" s="48"/>
      <c r="G170" s="49"/>
    </row>
    <row r="171" spans="2:8" x14ac:dyDescent="0.25">
      <c r="B171" s="14" t="s">
        <v>98</v>
      </c>
      <c r="C171" s="27">
        <v>1397</v>
      </c>
      <c r="D171" s="27">
        <v>238</v>
      </c>
      <c r="E171" s="27">
        <v>73</v>
      </c>
      <c r="F171" s="27">
        <v>415</v>
      </c>
      <c r="G171" s="27">
        <f>SUM(C171:F171)</f>
        <v>2123</v>
      </c>
    </row>
    <row r="172" spans="2:8" x14ac:dyDescent="0.25">
      <c r="B172" s="14" t="s">
        <v>96</v>
      </c>
      <c r="C172" s="27">
        <f>48895000/1000000</f>
        <v>48.895000000000003</v>
      </c>
      <c r="D172" s="27">
        <v>4.9980000000000002</v>
      </c>
      <c r="E172" s="27">
        <v>1.8</v>
      </c>
      <c r="F172" s="27">
        <v>10.359</v>
      </c>
      <c r="G172" s="11">
        <f>SUM(C172:F172)</f>
        <v>66.051999999999992</v>
      </c>
    </row>
    <row r="173" spans="2:8" x14ac:dyDescent="0.25">
      <c r="B173" s="37"/>
      <c r="C173" s="37"/>
      <c r="D173" s="37"/>
      <c r="E173" s="37"/>
      <c r="F173" s="37"/>
      <c r="G173" s="37"/>
      <c r="H173" s="37"/>
    </row>
    <row r="174" spans="2:8" x14ac:dyDescent="0.25">
      <c r="B174" s="47" t="s">
        <v>99</v>
      </c>
      <c r="C174" s="48"/>
      <c r="D174" s="48"/>
      <c r="E174" s="48"/>
      <c r="F174" s="48"/>
      <c r="G174" s="49"/>
    </row>
    <row r="175" spans="2:8" x14ac:dyDescent="0.25">
      <c r="B175" s="14" t="s">
        <v>98</v>
      </c>
      <c r="C175" s="27">
        <v>213</v>
      </c>
      <c r="D175" s="27">
        <v>296</v>
      </c>
      <c r="E175" s="27">
        <v>182</v>
      </c>
      <c r="F175" s="27">
        <v>29</v>
      </c>
      <c r="G175" s="27">
        <f>SUM(C175:F175)</f>
        <v>720</v>
      </c>
    </row>
    <row r="176" spans="2:8" x14ac:dyDescent="0.25">
      <c r="B176" s="14" t="s">
        <v>96</v>
      </c>
      <c r="C176" s="27">
        <f>21820000/1000000</f>
        <v>21.82</v>
      </c>
      <c r="D176" s="27">
        <v>30.86</v>
      </c>
      <c r="E176" s="27">
        <v>9.89</v>
      </c>
      <c r="F176" s="27">
        <v>2.9550000000000001</v>
      </c>
      <c r="G176" s="11">
        <f>SUM(C176:F176)</f>
        <v>65.525000000000006</v>
      </c>
    </row>
    <row r="177" spans="2:8" x14ac:dyDescent="0.25">
      <c r="B177" s="37"/>
      <c r="C177" s="37"/>
      <c r="D177" s="37"/>
      <c r="E177" s="37"/>
      <c r="F177" s="37"/>
      <c r="G177" s="37"/>
      <c r="H177" s="37"/>
    </row>
    <row r="178" spans="2:8" x14ac:dyDescent="0.25">
      <c r="B178" s="47" t="s">
        <v>100</v>
      </c>
      <c r="C178" s="48"/>
      <c r="D178" s="48"/>
      <c r="E178" s="48"/>
      <c r="F178" s="48"/>
      <c r="G178" s="49"/>
    </row>
    <row r="179" spans="2:8" x14ac:dyDescent="0.25">
      <c r="B179" s="14" t="s">
        <v>98</v>
      </c>
      <c r="C179" s="27">
        <v>337</v>
      </c>
      <c r="D179" s="27">
        <v>294</v>
      </c>
      <c r="E179" s="27">
        <v>0</v>
      </c>
      <c r="F179" s="27">
        <v>0</v>
      </c>
      <c r="G179" s="27">
        <f>SUM(C179:F179)</f>
        <v>631</v>
      </c>
    </row>
    <row r="180" spans="2:8" x14ac:dyDescent="0.25">
      <c r="B180" s="14" t="s">
        <v>96</v>
      </c>
      <c r="C180" s="27">
        <f>13675000/1000000</f>
        <v>13.675000000000001</v>
      </c>
      <c r="D180" s="27">
        <v>29.34074</v>
      </c>
      <c r="E180" s="27">
        <v>0</v>
      </c>
      <c r="F180" s="27">
        <v>0</v>
      </c>
      <c r="G180" s="11">
        <f>SUM(C180:F180)</f>
        <v>43.015740000000001</v>
      </c>
    </row>
    <row r="181" spans="2:8" x14ac:dyDescent="0.25">
      <c r="B181" s="37"/>
      <c r="C181" s="37"/>
      <c r="D181" s="37"/>
      <c r="E181" s="37"/>
      <c r="F181" s="37"/>
      <c r="G181" s="37"/>
      <c r="H181" s="37"/>
    </row>
    <row r="182" spans="2:8" x14ac:dyDescent="0.25">
      <c r="B182" s="51" t="s">
        <v>101</v>
      </c>
      <c r="C182" s="51"/>
      <c r="D182" s="51"/>
      <c r="E182" s="51"/>
      <c r="F182" s="51"/>
      <c r="G182" s="51"/>
    </row>
    <row r="183" spans="2:8" x14ac:dyDescent="0.25">
      <c r="B183" s="18" t="s">
        <v>102</v>
      </c>
      <c r="C183" s="19">
        <f>+C179+C175+C171+C167</f>
        <v>3267</v>
      </c>
      <c r="D183" s="19">
        <f>D167+D171+D175+D179</f>
        <v>3953</v>
      </c>
      <c r="E183" s="19">
        <v>356</v>
      </c>
      <c r="F183" s="19">
        <f>+F179+F175+F171+F167</f>
        <v>1101</v>
      </c>
      <c r="G183" s="19">
        <f>SUM(C183:F183)</f>
        <v>8677</v>
      </c>
    </row>
    <row r="184" spans="2:8" x14ac:dyDescent="0.25">
      <c r="B184" s="18" t="s">
        <v>103</v>
      </c>
      <c r="C184" s="19">
        <f>+C180+C176+C172+C168</f>
        <v>130.59000000000003</v>
      </c>
      <c r="D184" s="19">
        <f>D168+D172+D176+D180</f>
        <v>131.77374</v>
      </c>
      <c r="E184" s="19">
        <v>14.190000000000001</v>
      </c>
      <c r="F184" s="19">
        <f>+F180+F176+F172+F168</f>
        <v>36.013999999999996</v>
      </c>
      <c r="G184" s="22">
        <f>SUM(C184:F184)</f>
        <v>312.56774000000001</v>
      </c>
    </row>
    <row r="185" spans="2:8" x14ac:dyDescent="0.25">
      <c r="B185" s="37"/>
      <c r="C185" s="37"/>
      <c r="D185" s="37"/>
      <c r="E185" s="37"/>
      <c r="F185" s="37"/>
      <c r="G185" s="37"/>
      <c r="H185" s="37"/>
    </row>
    <row r="186" spans="2:8" x14ac:dyDescent="0.25">
      <c r="B186" s="51" t="s">
        <v>104</v>
      </c>
      <c r="C186" s="51"/>
      <c r="D186" s="51"/>
      <c r="E186" s="51"/>
      <c r="F186" s="51"/>
      <c r="G186" s="51"/>
    </row>
    <row r="187" spans="2:8" x14ac:dyDescent="0.25">
      <c r="B187" s="14" t="s">
        <v>105</v>
      </c>
      <c r="C187" s="27">
        <v>6532</v>
      </c>
      <c r="D187" s="27">
        <v>0</v>
      </c>
      <c r="E187" s="27">
        <v>160</v>
      </c>
      <c r="F187" s="27">
        <v>25340</v>
      </c>
      <c r="G187" s="27">
        <f>SUM(C187:F187)</f>
        <v>32032</v>
      </c>
    </row>
    <row r="188" spans="2:8" x14ac:dyDescent="0.25">
      <c r="B188" s="14" t="s">
        <v>106</v>
      </c>
      <c r="C188" s="27">
        <f>212765796/1000000</f>
        <v>212.76579599999999</v>
      </c>
      <c r="D188" s="27">
        <v>0</v>
      </c>
      <c r="E188" s="27">
        <v>11.93</v>
      </c>
      <c r="F188" s="27">
        <v>170.31531899999999</v>
      </c>
      <c r="G188" s="11">
        <f>SUM(C188:F188)</f>
        <v>395.01111500000002</v>
      </c>
    </row>
    <row r="189" spans="2:8" x14ac:dyDescent="0.25">
      <c r="B189" s="37"/>
      <c r="C189" s="37"/>
      <c r="D189" s="37"/>
      <c r="E189" s="37"/>
      <c r="F189" s="37"/>
      <c r="G189" s="37"/>
      <c r="H189" s="37"/>
    </row>
    <row r="190" spans="2:8" x14ac:dyDescent="0.25">
      <c r="B190" s="51" t="s">
        <v>107</v>
      </c>
      <c r="C190" s="51"/>
      <c r="D190" s="51"/>
      <c r="E190" s="51"/>
      <c r="F190" s="51"/>
      <c r="G190" s="51"/>
    </row>
    <row r="191" spans="2:8" x14ac:dyDescent="0.25">
      <c r="B191" s="18" t="s">
        <v>108</v>
      </c>
      <c r="C191" s="19">
        <f>C187+C162+C183</f>
        <v>12394</v>
      </c>
      <c r="D191" s="19">
        <f>+D187+D183+D162+D158</f>
        <v>13654</v>
      </c>
      <c r="E191" s="19">
        <v>6453</v>
      </c>
      <c r="F191" s="19">
        <f>F158+F162+F183+F187</f>
        <v>50680</v>
      </c>
      <c r="G191" s="19">
        <f>SUM(C191:F191)</f>
        <v>83181</v>
      </c>
    </row>
    <row r="192" spans="2:8" x14ac:dyDescent="0.25">
      <c r="B192" s="18" t="s">
        <v>109</v>
      </c>
      <c r="C192" s="19">
        <f>C188+C163+C184</f>
        <v>402.21909600000004</v>
      </c>
      <c r="D192" s="19">
        <f>+D188+D184+D163+D159</f>
        <v>217.723885</v>
      </c>
      <c r="E192" s="19">
        <v>134.760988</v>
      </c>
      <c r="F192" s="19">
        <f>F159+F184+F163+F188</f>
        <v>340.63063799999998</v>
      </c>
      <c r="G192" s="22">
        <f>SUM(C192:F192)</f>
        <v>1095.334607</v>
      </c>
    </row>
    <row r="193" spans="3:7" s="1" customFormat="1" x14ac:dyDescent="0.25">
      <c r="G193" s="7"/>
    </row>
    <row r="194" spans="3:7" s="1" customFormat="1" x14ac:dyDescent="0.25">
      <c r="C194" s="7"/>
      <c r="G194" s="7"/>
    </row>
    <row r="195" spans="3:7" s="1" customFormat="1" x14ac:dyDescent="0.25">
      <c r="G195" s="7"/>
    </row>
    <row r="196" spans="3:7" s="1" customFormat="1" x14ac:dyDescent="0.25">
      <c r="C196" s="8"/>
      <c r="G196" s="7"/>
    </row>
  </sheetData>
  <mergeCells count="80"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  <mergeCell ref="B53:G53"/>
    <mergeCell ref="B32:G32"/>
    <mergeCell ref="B36:G36"/>
    <mergeCell ref="B38:G38"/>
    <mergeCell ref="B39:G39"/>
    <mergeCell ref="B42:H42"/>
    <mergeCell ref="B43:G43"/>
    <mergeCell ref="B46:H46"/>
    <mergeCell ref="B47:G47"/>
    <mergeCell ref="B50:H50"/>
    <mergeCell ref="B51:G51"/>
    <mergeCell ref="B52:H52"/>
    <mergeCell ref="B105:G105"/>
    <mergeCell ref="B54:G54"/>
    <mergeCell ref="B60:G60"/>
    <mergeCell ref="B66:G66"/>
    <mergeCell ref="B72:G72"/>
    <mergeCell ref="B78:H78"/>
    <mergeCell ref="B79:G79"/>
    <mergeCell ref="B80:G80"/>
    <mergeCell ref="B86:G86"/>
    <mergeCell ref="B92:G92"/>
    <mergeCell ref="B98:G98"/>
    <mergeCell ref="B104:H104"/>
    <mergeCell ref="B133:G133"/>
    <mergeCell ref="B106:G106"/>
    <mergeCell ref="B110:G110"/>
    <mergeCell ref="B114:I114"/>
    <mergeCell ref="B115:G115"/>
    <mergeCell ref="B119:G119"/>
    <mergeCell ref="B123:H123"/>
    <mergeCell ref="B124:G124"/>
    <mergeCell ref="B126:G126"/>
    <mergeCell ref="B128:H128"/>
    <mergeCell ref="B129:G129"/>
    <mergeCell ref="B132:H132"/>
    <mergeCell ref="B152:H152"/>
    <mergeCell ref="B135:H135"/>
    <mergeCell ref="B136:G136"/>
    <mergeCell ref="B137:G137"/>
    <mergeCell ref="B140:H140"/>
    <mergeCell ref="B141:H141"/>
    <mergeCell ref="B142:G142"/>
    <mergeCell ref="B143:G143"/>
    <mergeCell ref="B144:H144"/>
    <mergeCell ref="B145:G145"/>
    <mergeCell ref="B148:H148"/>
    <mergeCell ref="B149:G149"/>
    <mergeCell ref="B174:G174"/>
    <mergeCell ref="B153:G153"/>
    <mergeCell ref="B156:H156"/>
    <mergeCell ref="B157:G157"/>
    <mergeCell ref="B160:H160"/>
    <mergeCell ref="B161:G161"/>
    <mergeCell ref="B164:G164"/>
    <mergeCell ref="B165:G165"/>
    <mergeCell ref="B166:G166"/>
    <mergeCell ref="B169:G169"/>
    <mergeCell ref="B170:G170"/>
    <mergeCell ref="B173:H173"/>
    <mergeCell ref="B189:H189"/>
    <mergeCell ref="B190:G190"/>
    <mergeCell ref="B177:H177"/>
    <mergeCell ref="B178:G178"/>
    <mergeCell ref="B181:H181"/>
    <mergeCell ref="B182:G182"/>
    <mergeCell ref="B185:H185"/>
    <mergeCell ref="B186:G18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7CE41-F8FA-4B33-AE98-3CCA12914BC3}">
  <dimension ref="A1:BD196"/>
  <sheetViews>
    <sheetView zoomScaleNormal="100" workbookViewId="0">
      <selection activeCell="B20" sqref="B20:G20"/>
    </sheetView>
  </sheetViews>
  <sheetFormatPr baseColWidth="10" defaultColWidth="53.140625" defaultRowHeight="15" x14ac:dyDescent="0.25"/>
  <cols>
    <col min="1" max="1" width="1.42578125" style="1" bestFit="1" customWidth="1"/>
    <col min="2" max="2" width="53.28515625" bestFit="1" customWidth="1"/>
    <col min="3" max="3" width="17.42578125" bestFit="1" customWidth="1"/>
    <col min="4" max="4" width="16.42578125" bestFit="1" customWidth="1"/>
    <col min="5" max="6" width="14.7109375" bestFit="1" customWidth="1"/>
    <col min="7" max="7" width="16.42578125" style="7" bestFit="1" customWidth="1"/>
    <col min="8" max="56" width="53.140625" style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38" t="s">
        <v>1</v>
      </c>
      <c r="D2" s="39"/>
      <c r="E2" s="39"/>
      <c r="F2" s="39"/>
      <c r="G2" s="40"/>
    </row>
    <row r="3" spans="1:7" ht="21" x14ac:dyDescent="0.35">
      <c r="B3" s="1"/>
      <c r="C3" s="5" t="s">
        <v>2</v>
      </c>
      <c r="D3" s="5" t="s">
        <v>3</v>
      </c>
      <c r="E3" s="6" t="s">
        <v>4</v>
      </c>
      <c r="F3" s="5" t="s">
        <v>5</v>
      </c>
      <c r="G3" s="15" t="s">
        <v>6</v>
      </c>
    </row>
    <row r="4" spans="1:7" ht="21" x14ac:dyDescent="0.35">
      <c r="B4" s="41" t="s">
        <v>7</v>
      </c>
      <c r="C4" s="42"/>
      <c r="D4" s="42"/>
      <c r="E4" s="42"/>
      <c r="F4" s="42"/>
      <c r="G4" s="43"/>
    </row>
    <row r="5" spans="1:7" x14ac:dyDescent="0.25">
      <c r="B5" s="44" t="s">
        <v>8</v>
      </c>
      <c r="C5" s="45"/>
      <c r="D5" s="45"/>
      <c r="E5" s="45"/>
      <c r="F5" s="45"/>
      <c r="G5" s="46"/>
    </row>
    <row r="6" spans="1:7" x14ac:dyDescent="0.25">
      <c r="B6" s="4" t="s">
        <v>9</v>
      </c>
      <c r="C6" s="12">
        <v>54271</v>
      </c>
      <c r="D6" s="12">
        <v>8239</v>
      </c>
      <c r="E6" s="12">
        <v>7576</v>
      </c>
      <c r="F6" s="12">
        <v>9126</v>
      </c>
      <c r="G6" s="12">
        <f>+F6+E6+D6+C6</f>
        <v>79212</v>
      </c>
    </row>
    <row r="7" spans="1:7" x14ac:dyDescent="0.25">
      <c r="B7" s="14" t="s">
        <v>10</v>
      </c>
      <c r="C7" s="12">
        <v>565</v>
      </c>
      <c r="D7" s="12">
        <v>290</v>
      </c>
      <c r="E7" s="12">
        <v>23</v>
      </c>
      <c r="F7" s="12">
        <v>131</v>
      </c>
      <c r="G7" s="12">
        <f>+F7+E7+D7+C7</f>
        <v>1009</v>
      </c>
    </row>
    <row r="8" spans="1:7" x14ac:dyDescent="0.25">
      <c r="B8" s="18" t="s">
        <v>11</v>
      </c>
      <c r="C8" s="25">
        <f>SUM(C6:C7)</f>
        <v>54836</v>
      </c>
      <c r="D8" s="25">
        <f>+D6+D7</f>
        <v>8529</v>
      </c>
      <c r="E8" s="25">
        <v>7599</v>
      </c>
      <c r="F8" s="25">
        <v>9257</v>
      </c>
      <c r="G8" s="25">
        <f>+F8+E8+D8+C8</f>
        <v>80221</v>
      </c>
    </row>
    <row r="9" spans="1:7" x14ac:dyDescent="0.25">
      <c r="B9" s="37"/>
      <c r="C9" s="37"/>
      <c r="D9" s="37"/>
      <c r="E9" s="37"/>
      <c r="F9" s="37"/>
      <c r="G9" s="37"/>
    </row>
    <row r="10" spans="1:7" x14ac:dyDescent="0.25">
      <c r="B10" s="44" t="s">
        <v>12</v>
      </c>
      <c r="C10" s="45"/>
      <c r="D10" s="45"/>
      <c r="E10" s="45"/>
      <c r="F10" s="45"/>
      <c r="G10" s="46"/>
    </row>
    <row r="11" spans="1:7" x14ac:dyDescent="0.25">
      <c r="B11" s="47" t="s">
        <v>13</v>
      </c>
      <c r="C11" s="48"/>
      <c r="D11" s="48"/>
      <c r="E11" s="48"/>
      <c r="F11" s="48"/>
      <c r="G11" s="49"/>
    </row>
    <row r="12" spans="1:7" x14ac:dyDescent="0.25">
      <c r="B12" s="16" t="s">
        <v>14</v>
      </c>
      <c r="C12" s="17">
        <v>719626</v>
      </c>
      <c r="D12" s="17">
        <v>88926</v>
      </c>
      <c r="E12" s="17">
        <v>34548</v>
      </c>
      <c r="F12" s="17">
        <v>0</v>
      </c>
      <c r="G12" s="17">
        <f>SUM(C12:F12)</f>
        <v>843100</v>
      </c>
    </row>
    <row r="13" spans="1:7" x14ac:dyDescent="0.25">
      <c r="B13" s="16" t="s">
        <v>15</v>
      </c>
      <c r="C13" s="17">
        <v>2562244</v>
      </c>
      <c r="D13" s="17">
        <v>559948</v>
      </c>
      <c r="E13" s="17">
        <v>224698</v>
      </c>
      <c r="F13" s="17">
        <v>0</v>
      </c>
      <c r="G13" s="17">
        <f>SUM(C13:F13)</f>
        <v>3346890</v>
      </c>
    </row>
    <row r="14" spans="1:7" x14ac:dyDescent="0.25">
      <c r="B14" s="18" t="s">
        <v>16</v>
      </c>
      <c r="C14" s="19">
        <f>C13+C12</f>
        <v>3281870</v>
      </c>
      <c r="D14" s="19">
        <v>924501</v>
      </c>
      <c r="E14" s="19">
        <v>259246</v>
      </c>
      <c r="F14" s="19">
        <v>333237</v>
      </c>
      <c r="G14" s="19">
        <f>SUM(C14:F14)</f>
        <v>4798854</v>
      </c>
    </row>
    <row r="15" spans="1:7" x14ac:dyDescent="0.25">
      <c r="B15" s="18" t="s">
        <v>17</v>
      </c>
      <c r="C15" s="19">
        <v>564161</v>
      </c>
      <c r="D15" s="19">
        <v>223535</v>
      </c>
      <c r="E15" s="19">
        <v>3643</v>
      </c>
      <c r="F15" s="19">
        <v>152734</v>
      </c>
      <c r="G15" s="19">
        <f>SUM(C15:F15)</f>
        <v>944073</v>
      </c>
    </row>
    <row r="16" spans="1:7" x14ac:dyDescent="0.25">
      <c r="B16" s="18" t="s">
        <v>18</v>
      </c>
      <c r="C16" s="19">
        <f>C15+C14</f>
        <v>3846031</v>
      </c>
      <c r="D16" s="19">
        <f>+D14+D15</f>
        <v>1148036</v>
      </c>
      <c r="E16" s="19">
        <v>262889</v>
      </c>
      <c r="F16" s="19">
        <v>485971</v>
      </c>
      <c r="G16" s="19">
        <f>SUM(C16:F16)</f>
        <v>5742927</v>
      </c>
    </row>
    <row r="17" spans="2:8" x14ac:dyDescent="0.25">
      <c r="B17" s="37"/>
      <c r="C17" s="37"/>
      <c r="D17" s="37"/>
      <c r="E17" s="37"/>
      <c r="F17" s="37"/>
      <c r="G17" s="37"/>
    </row>
    <row r="18" spans="2:8" x14ac:dyDescent="0.25">
      <c r="B18" s="47" t="s">
        <v>19</v>
      </c>
      <c r="C18" s="48"/>
      <c r="D18" s="48"/>
      <c r="E18" s="48"/>
      <c r="F18" s="48"/>
      <c r="G18" s="49"/>
    </row>
    <row r="19" spans="2:8" x14ac:dyDescent="0.25">
      <c r="B19" s="14" t="s">
        <v>20</v>
      </c>
      <c r="C19" s="27">
        <v>481</v>
      </c>
      <c r="D19" s="27">
        <v>2</v>
      </c>
      <c r="E19" s="27">
        <v>0</v>
      </c>
      <c r="F19" s="27">
        <v>0</v>
      </c>
      <c r="G19" s="27">
        <f>SUM(C19:F19)</f>
        <v>483</v>
      </c>
    </row>
    <row r="20" spans="2:8" x14ac:dyDescent="0.25">
      <c r="B20" s="50"/>
      <c r="C20" s="50"/>
      <c r="D20" s="50"/>
      <c r="E20" s="50"/>
      <c r="F20" s="50"/>
      <c r="G20" s="50"/>
    </row>
    <row r="21" spans="2:8" x14ac:dyDescent="0.25">
      <c r="B21" s="18" t="s">
        <v>21</v>
      </c>
      <c r="C21" s="19">
        <f>+C16+C19</f>
        <v>3846512</v>
      </c>
      <c r="D21" s="19">
        <v>1148038</v>
      </c>
      <c r="E21" s="19">
        <f>+E16</f>
        <v>262889</v>
      </c>
      <c r="F21" s="19">
        <f>F16</f>
        <v>485971</v>
      </c>
      <c r="G21" s="19">
        <f>SUM(C21:F21)</f>
        <v>5743410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19">
        <v>411912</v>
      </c>
      <c r="D24" s="19">
        <v>230783</v>
      </c>
      <c r="E24" s="19">
        <v>175742</v>
      </c>
      <c r="F24" s="19">
        <v>637286</v>
      </c>
      <c r="G24" s="19">
        <f>SUM(C24:F24)</f>
        <v>1455723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19">
        <f>+C24+C21</f>
        <v>4258424</v>
      </c>
      <c r="D27" s="19">
        <f>+D24+D21</f>
        <v>1378821</v>
      </c>
      <c r="E27" s="19">
        <f>+E24+E21</f>
        <v>438631</v>
      </c>
      <c r="F27" s="19">
        <v>1123257</v>
      </c>
      <c r="G27" s="19">
        <f>SUM(C27:F27)</f>
        <v>7199133</v>
      </c>
    </row>
    <row r="28" spans="2:8" x14ac:dyDescent="0.25">
      <c r="B28" s="37"/>
      <c r="C28" s="37"/>
      <c r="D28" s="37"/>
      <c r="E28" s="37"/>
      <c r="F28" s="37"/>
      <c r="G28" s="37"/>
      <c r="H28" s="37"/>
    </row>
    <row r="29" spans="2:8" x14ac:dyDescent="0.25">
      <c r="B29" s="44" t="s">
        <v>26</v>
      </c>
      <c r="C29" s="45"/>
      <c r="D29" s="45"/>
      <c r="E29" s="45"/>
      <c r="F29" s="45"/>
      <c r="G29" s="46"/>
    </row>
    <row r="30" spans="2:8" x14ac:dyDescent="0.25">
      <c r="B30" s="14" t="s">
        <v>27</v>
      </c>
      <c r="C30" s="27">
        <v>1211925</v>
      </c>
      <c r="D30" s="27">
        <v>110559</v>
      </c>
      <c r="E30" s="27">
        <v>62537</v>
      </c>
      <c r="F30" s="27">
        <v>170654</v>
      </c>
      <c r="G30" s="27">
        <f>SUM(C30:F30)</f>
        <v>1555675</v>
      </c>
    </row>
    <row r="31" spans="2:8" x14ac:dyDescent="0.25">
      <c r="B31" s="37"/>
      <c r="C31" s="37"/>
      <c r="D31" s="37"/>
      <c r="E31" s="37"/>
      <c r="F31" s="37"/>
      <c r="G31" s="37"/>
      <c r="H31" s="37"/>
    </row>
    <row r="32" spans="2:8" x14ac:dyDescent="0.25">
      <c r="B32" s="44" t="s">
        <v>28</v>
      </c>
      <c r="C32" s="45"/>
      <c r="D32" s="45"/>
      <c r="E32" s="45"/>
      <c r="F32" s="45"/>
      <c r="G32" s="46"/>
    </row>
    <row r="33" spans="2:9" x14ac:dyDescent="0.25">
      <c r="B33" s="14" t="s">
        <v>29</v>
      </c>
      <c r="C33" s="27">
        <v>4777368762984</v>
      </c>
      <c r="D33" s="27">
        <v>723982861051</v>
      </c>
      <c r="E33" s="27">
        <v>280523433108</v>
      </c>
      <c r="F33" s="27">
        <v>541619134638</v>
      </c>
      <c r="G33" s="27">
        <f>SUM(C33:F33)</f>
        <v>6323494191781</v>
      </c>
    </row>
    <row r="34" spans="2:9" x14ac:dyDescent="0.25">
      <c r="B34" s="14" t="s">
        <v>30</v>
      </c>
      <c r="C34" s="27">
        <v>220844009389</v>
      </c>
      <c r="D34" s="27">
        <v>94230216997</v>
      </c>
      <c r="E34" s="27">
        <v>65644500800</v>
      </c>
      <c r="F34" s="27">
        <v>231937471700</v>
      </c>
      <c r="G34" s="27">
        <f>SUM(C34:F34)</f>
        <v>612656198886</v>
      </c>
    </row>
    <row r="35" spans="2:9" x14ac:dyDescent="0.25">
      <c r="B35" s="32" t="s">
        <v>31</v>
      </c>
      <c r="C35" s="33">
        <f>SUM(C33:C34)</f>
        <v>4998212772373</v>
      </c>
      <c r="D35" s="33">
        <f>+D34+D33</f>
        <v>818213078048</v>
      </c>
      <c r="E35" s="33">
        <v>346167933908</v>
      </c>
      <c r="F35" s="33">
        <v>773556606338</v>
      </c>
      <c r="G35" s="33">
        <f>SUM(C35:F35)</f>
        <v>6936150390667</v>
      </c>
    </row>
    <row r="36" spans="2:9" x14ac:dyDescent="0.25">
      <c r="B36" s="52" t="s">
        <v>32</v>
      </c>
      <c r="C36" s="52"/>
      <c r="D36" s="52"/>
      <c r="E36" s="52"/>
      <c r="F36" s="52"/>
      <c r="G36" s="52"/>
      <c r="H36"/>
    </row>
    <row r="37" spans="2:9" x14ac:dyDescent="0.25">
      <c r="B37" s="31"/>
      <c r="C37" s="31"/>
      <c r="D37" s="31"/>
      <c r="E37" s="31"/>
      <c r="F37" s="31"/>
      <c r="G37" s="31"/>
      <c r="H37" s="31"/>
    </row>
    <row r="38" spans="2:9" ht="21" x14ac:dyDescent="0.35">
      <c r="B38" s="41" t="s">
        <v>33</v>
      </c>
      <c r="C38" s="42"/>
      <c r="D38" s="42"/>
      <c r="E38" s="42"/>
      <c r="F38" s="42"/>
      <c r="G38" s="43"/>
    </row>
    <row r="39" spans="2:9" x14ac:dyDescent="0.25">
      <c r="B39" s="44" t="s">
        <v>34</v>
      </c>
      <c r="C39" s="45"/>
      <c r="D39" s="45"/>
      <c r="E39" s="45"/>
      <c r="F39" s="45"/>
      <c r="G39" s="46"/>
    </row>
    <row r="40" spans="2:9" x14ac:dyDescent="0.25">
      <c r="B40" s="14" t="s">
        <v>35</v>
      </c>
      <c r="C40" s="27">
        <v>605751</v>
      </c>
      <c r="D40" s="27">
        <v>99834</v>
      </c>
      <c r="E40" s="27">
        <v>39638</v>
      </c>
      <c r="F40" s="27">
        <v>55397</v>
      </c>
      <c r="G40" s="27">
        <f>SUM(C40:F40)</f>
        <v>800620</v>
      </c>
      <c r="H40" s="7"/>
      <c r="I40" s="7"/>
    </row>
    <row r="41" spans="2:9" x14ac:dyDescent="0.25">
      <c r="B41" s="14" t="s">
        <v>36</v>
      </c>
      <c r="C41" s="27">
        <f>3991051699/1000000</f>
        <v>3991.0516990000001</v>
      </c>
      <c r="D41" s="27">
        <v>1109.4024219999999</v>
      </c>
      <c r="E41" s="27">
        <v>415.8</v>
      </c>
      <c r="F41" s="27">
        <v>582.11182199999996</v>
      </c>
      <c r="G41" s="11">
        <f>SUM(C41:F41)</f>
        <v>6098.3659429999998</v>
      </c>
      <c r="H41" s="7"/>
      <c r="I41" s="7"/>
    </row>
    <row r="42" spans="2:9" x14ac:dyDescent="0.25">
      <c r="B42" s="37"/>
      <c r="C42" s="37"/>
      <c r="D42" s="37"/>
      <c r="E42" s="37"/>
      <c r="F42" s="37"/>
      <c r="G42" s="37"/>
      <c r="H42" s="37"/>
      <c r="I42" s="7"/>
    </row>
    <row r="43" spans="2:9" x14ac:dyDescent="0.25">
      <c r="B43" s="51" t="s">
        <v>37</v>
      </c>
      <c r="C43" s="51"/>
      <c r="D43" s="51"/>
      <c r="E43" s="51"/>
      <c r="F43" s="51"/>
      <c r="G43" s="51"/>
      <c r="I43" s="7"/>
    </row>
    <row r="44" spans="2:9" x14ac:dyDescent="0.25">
      <c r="B44" s="14" t="s">
        <v>38</v>
      </c>
      <c r="C44" s="27">
        <v>4</v>
      </c>
      <c r="D44" s="27">
        <v>4</v>
      </c>
      <c r="E44" s="27">
        <v>2</v>
      </c>
      <c r="F44" s="27">
        <v>1</v>
      </c>
      <c r="G44" s="27">
        <f>SUM(C44:F44)</f>
        <v>11</v>
      </c>
      <c r="H44" s="7"/>
      <c r="I44" s="7"/>
    </row>
    <row r="45" spans="2:9" x14ac:dyDescent="0.25">
      <c r="B45" s="14" t="s">
        <v>39</v>
      </c>
      <c r="C45" s="27">
        <f>4768021/1000000</f>
        <v>4.7680210000000001</v>
      </c>
      <c r="D45" s="27">
        <v>4.9126999999999997E-2</v>
      </c>
      <c r="E45" s="27">
        <v>0.02</v>
      </c>
      <c r="F45" s="27">
        <v>0.121561</v>
      </c>
      <c r="G45" s="11">
        <f>SUM(C45:F45)</f>
        <v>4.9587089999999998</v>
      </c>
      <c r="H45" s="7"/>
      <c r="I45" s="7"/>
    </row>
    <row r="46" spans="2:9" x14ac:dyDescent="0.25">
      <c r="B46" s="37"/>
      <c r="C46" s="37"/>
      <c r="D46" s="37"/>
      <c r="E46" s="37"/>
      <c r="F46" s="37"/>
      <c r="G46" s="37"/>
      <c r="H46" s="37"/>
      <c r="I46" s="7"/>
    </row>
    <row r="47" spans="2:9" x14ac:dyDescent="0.25">
      <c r="B47" s="51" t="s">
        <v>40</v>
      </c>
      <c r="C47" s="51"/>
      <c r="D47" s="51"/>
      <c r="E47" s="51"/>
      <c r="F47" s="51"/>
      <c r="G47" s="51"/>
      <c r="I47" s="7"/>
    </row>
    <row r="48" spans="2:9" x14ac:dyDescent="0.25">
      <c r="B48" s="14" t="s">
        <v>41</v>
      </c>
      <c r="C48" s="27">
        <v>102182</v>
      </c>
      <c r="D48" s="27">
        <v>50477</v>
      </c>
      <c r="E48" s="27">
        <v>8810</v>
      </c>
      <c r="F48" s="27">
        <v>42324</v>
      </c>
      <c r="G48" s="27">
        <f>SUM(C48:F48)</f>
        <v>203793</v>
      </c>
      <c r="H48" s="7"/>
      <c r="I48" s="7"/>
    </row>
    <row r="49" spans="2:9" x14ac:dyDescent="0.25">
      <c r="B49" s="14" t="s">
        <v>42</v>
      </c>
      <c r="C49" s="27">
        <f>(78818384530+1335832818)/1000000</f>
        <v>80154.217348000006</v>
      </c>
      <c r="D49" s="27">
        <v>21927</v>
      </c>
      <c r="E49" s="27">
        <v>8871.2413539999998</v>
      </c>
      <c r="F49" s="27">
        <v>10773.735790999999</v>
      </c>
      <c r="G49" s="11">
        <f>SUM(C49:F49)</f>
        <v>121726.194493</v>
      </c>
      <c r="H49" s="7"/>
      <c r="I49" s="7"/>
    </row>
    <row r="50" spans="2:9" x14ac:dyDescent="0.25">
      <c r="B50" s="37"/>
      <c r="C50" s="37"/>
      <c r="D50" s="37"/>
      <c r="E50" s="37"/>
      <c r="F50" s="37"/>
      <c r="G50" s="37"/>
      <c r="H50" s="37"/>
    </row>
    <row r="51" spans="2:9" ht="21" x14ac:dyDescent="0.35">
      <c r="B51" s="41" t="s">
        <v>43</v>
      </c>
      <c r="C51" s="42"/>
      <c r="D51" s="42"/>
      <c r="E51" s="42"/>
      <c r="F51" s="42"/>
      <c r="G51" s="43"/>
    </row>
    <row r="52" spans="2:9" x14ac:dyDescent="0.25">
      <c r="B52" s="53"/>
      <c r="C52" s="53"/>
      <c r="D52" s="53"/>
      <c r="E52" s="53"/>
      <c r="F52" s="53"/>
      <c r="G52" s="53"/>
      <c r="H52" s="53"/>
    </row>
    <row r="53" spans="2:9" x14ac:dyDescent="0.25">
      <c r="B53" s="51" t="s">
        <v>44</v>
      </c>
      <c r="C53" s="51"/>
      <c r="D53" s="51"/>
      <c r="E53" s="51"/>
      <c r="F53" s="51"/>
      <c r="G53" s="51"/>
    </row>
    <row r="54" spans="2:9" x14ac:dyDescent="0.25">
      <c r="B54" s="54" t="s">
        <v>45</v>
      </c>
      <c r="C54" s="54"/>
      <c r="D54" s="54"/>
      <c r="E54" s="54"/>
      <c r="F54" s="54"/>
      <c r="G54" s="54"/>
    </row>
    <row r="55" spans="2:9" x14ac:dyDescent="0.25">
      <c r="B55" s="14" t="s">
        <v>46</v>
      </c>
      <c r="C55" s="27">
        <v>121234</v>
      </c>
      <c r="D55" s="27">
        <v>6411</v>
      </c>
      <c r="E55" s="27">
        <v>1148</v>
      </c>
      <c r="F55" s="27">
        <v>4418</v>
      </c>
      <c r="G55" s="27">
        <f t="shared" ref="G55:G71" si="0">SUM(C55:F55)</f>
        <v>133211</v>
      </c>
    </row>
    <row r="56" spans="2:9" x14ac:dyDescent="0.25">
      <c r="B56" s="14" t="s">
        <v>47</v>
      </c>
      <c r="C56" s="27">
        <v>88707.313595</v>
      </c>
      <c r="D56" s="27">
        <v>9392.8504320000902</v>
      </c>
      <c r="E56" s="27">
        <v>1908.5844300000001</v>
      </c>
      <c r="F56" s="27">
        <v>7148</v>
      </c>
      <c r="G56" s="27">
        <f t="shared" si="0"/>
        <v>107156.7484570001</v>
      </c>
    </row>
    <row r="57" spans="2:9" x14ac:dyDescent="0.25">
      <c r="B57" s="14" t="s">
        <v>48</v>
      </c>
      <c r="C57" s="27">
        <v>14.7843014335912</v>
      </c>
      <c r="D57" s="27">
        <v>38</v>
      </c>
      <c r="E57" s="27">
        <v>21.767421602787458</v>
      </c>
      <c r="F57" s="27">
        <v>21</v>
      </c>
      <c r="G57" s="27">
        <f>AVERAGE(C57:F57)</f>
        <v>23.887930759094665</v>
      </c>
    </row>
    <row r="58" spans="2:9" x14ac:dyDescent="0.25">
      <c r="B58" s="14" t="s">
        <v>49</v>
      </c>
      <c r="C58" s="27">
        <v>1168542</v>
      </c>
      <c r="D58" s="27">
        <v>177672</v>
      </c>
      <c r="E58" s="27">
        <v>50219</v>
      </c>
      <c r="F58" s="27">
        <v>93045</v>
      </c>
      <c r="G58" s="27">
        <f t="shared" si="0"/>
        <v>1489478</v>
      </c>
    </row>
    <row r="59" spans="2:9" x14ac:dyDescent="0.25">
      <c r="B59" s="14" t="s">
        <v>50</v>
      </c>
      <c r="C59" s="27">
        <v>2512994.9856509999</v>
      </c>
      <c r="D59" s="27">
        <v>360613.32784899999</v>
      </c>
      <c r="E59" s="27">
        <v>116905.674209</v>
      </c>
      <c r="F59" s="27">
        <v>241782</v>
      </c>
      <c r="G59" s="11">
        <f t="shared" si="0"/>
        <v>3232295.9877090002</v>
      </c>
    </row>
    <row r="60" spans="2:9" x14ac:dyDescent="0.25">
      <c r="B60" s="54" t="s">
        <v>51</v>
      </c>
      <c r="C60" s="54"/>
      <c r="D60" s="54"/>
      <c r="E60" s="54"/>
      <c r="F60" s="54"/>
      <c r="G60" s="54"/>
    </row>
    <row r="61" spans="2:9" x14ac:dyDescent="0.25">
      <c r="B61" s="14" t="s">
        <v>46</v>
      </c>
      <c r="C61" s="20">
        <v>0</v>
      </c>
      <c r="D61" s="14">
        <v>0</v>
      </c>
      <c r="E61" s="14">
        <v>0</v>
      </c>
      <c r="F61" s="20">
        <v>0</v>
      </c>
      <c r="G61" s="27">
        <f t="shared" si="0"/>
        <v>0</v>
      </c>
    </row>
    <row r="62" spans="2:9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9" x14ac:dyDescent="0.25">
      <c r="B63" s="14" t="s">
        <v>48</v>
      </c>
      <c r="C63" s="20">
        <v>0</v>
      </c>
      <c r="D63" s="24">
        <v>0</v>
      </c>
      <c r="E63" s="24">
        <v>0</v>
      </c>
      <c r="F63" s="20">
        <v>0</v>
      </c>
      <c r="G63" s="20">
        <v>0</v>
      </c>
    </row>
    <row r="64" spans="2:9" x14ac:dyDescent="0.25">
      <c r="B64" s="14" t="s">
        <v>49</v>
      </c>
      <c r="C64" s="20">
        <v>0</v>
      </c>
      <c r="D64" s="27">
        <v>0</v>
      </c>
      <c r="E64" s="27">
        <v>0</v>
      </c>
      <c r="F64" s="20">
        <v>0</v>
      </c>
      <c r="G64" s="27">
        <f t="shared" si="0"/>
        <v>0</v>
      </c>
    </row>
    <row r="65" spans="2:8" x14ac:dyDescent="0.25">
      <c r="B65" s="14" t="s">
        <v>50</v>
      </c>
      <c r="C65" s="20">
        <v>0</v>
      </c>
      <c r="D65" s="27">
        <v>0</v>
      </c>
      <c r="E65" s="27">
        <v>0</v>
      </c>
      <c r="F65" s="20">
        <v>0</v>
      </c>
      <c r="G65" s="11">
        <f t="shared" si="0"/>
        <v>0</v>
      </c>
    </row>
    <row r="66" spans="2:8" x14ac:dyDescent="0.25">
      <c r="B66" s="54" t="s">
        <v>52</v>
      </c>
      <c r="C66" s="54"/>
      <c r="D66" s="54"/>
      <c r="E66" s="54"/>
      <c r="F66" s="54"/>
      <c r="G66" s="54"/>
    </row>
    <row r="67" spans="2:8" x14ac:dyDescent="0.25">
      <c r="B67" s="14" t="s">
        <v>46</v>
      </c>
      <c r="C67" s="27">
        <v>4975</v>
      </c>
      <c r="D67" s="27">
        <v>2360</v>
      </c>
      <c r="E67" s="27">
        <v>2392</v>
      </c>
      <c r="F67" s="27">
        <v>7153</v>
      </c>
      <c r="G67" s="27">
        <f t="shared" si="0"/>
        <v>16880</v>
      </c>
    </row>
    <row r="68" spans="2:8" x14ac:dyDescent="0.25">
      <c r="B68" s="14" t="s">
        <v>47</v>
      </c>
      <c r="C68" s="27">
        <v>4657.8078230000001</v>
      </c>
      <c r="D68" s="27">
        <v>2669.8256730000098</v>
      </c>
      <c r="E68" s="27">
        <v>3509.087802</v>
      </c>
      <c r="F68" s="27">
        <v>7073</v>
      </c>
      <c r="G68" s="27">
        <f t="shared" si="0"/>
        <v>17909.721298000011</v>
      </c>
    </row>
    <row r="69" spans="2:8" x14ac:dyDescent="0.25">
      <c r="B69" s="14" t="s">
        <v>48</v>
      </c>
      <c r="C69" s="27">
        <v>28.874974874371901</v>
      </c>
      <c r="D69" s="27">
        <v>54</v>
      </c>
      <c r="E69" s="27">
        <v>52.259197324414714</v>
      </c>
      <c r="F69" s="27">
        <v>40</v>
      </c>
      <c r="G69" s="27">
        <f>AVERAGE(C69:F69)</f>
        <v>43.783543049696654</v>
      </c>
    </row>
    <row r="70" spans="2:8" x14ac:dyDescent="0.25">
      <c r="B70" s="14" t="s">
        <v>49</v>
      </c>
      <c r="C70" s="27">
        <v>144540</v>
      </c>
      <c r="D70" s="27">
        <v>100142</v>
      </c>
      <c r="E70" s="27">
        <v>98162</v>
      </c>
      <c r="F70" s="27">
        <v>295335</v>
      </c>
      <c r="G70" s="27">
        <f t="shared" si="0"/>
        <v>638179</v>
      </c>
    </row>
    <row r="71" spans="2:8" x14ac:dyDescent="0.25">
      <c r="B71" s="14" t="s">
        <v>50</v>
      </c>
      <c r="C71" s="27">
        <v>171503.890897</v>
      </c>
      <c r="D71" s="27">
        <v>120820.55938000001</v>
      </c>
      <c r="E71" s="27">
        <v>120891.104628</v>
      </c>
      <c r="F71" s="27">
        <v>318158</v>
      </c>
      <c r="G71" s="11">
        <f t="shared" si="0"/>
        <v>731373.55490500003</v>
      </c>
    </row>
    <row r="72" spans="2:8" x14ac:dyDescent="0.25">
      <c r="B72" s="55" t="s">
        <v>53</v>
      </c>
      <c r="C72" s="56"/>
      <c r="D72" s="56"/>
      <c r="E72" s="56"/>
      <c r="F72" s="56"/>
      <c r="G72" s="57"/>
    </row>
    <row r="73" spans="2:8" x14ac:dyDescent="0.25">
      <c r="B73" s="18" t="s">
        <v>54</v>
      </c>
      <c r="C73" s="19">
        <f>+C55+C67</f>
        <v>126209</v>
      </c>
      <c r="D73" s="19">
        <f>+D67+D61+D55</f>
        <v>8771</v>
      </c>
      <c r="E73" s="19">
        <v>3540</v>
      </c>
      <c r="F73" s="19">
        <f>+F55+F67</f>
        <v>11571</v>
      </c>
      <c r="G73" s="19">
        <f>SUM(C73:F73)</f>
        <v>150091</v>
      </c>
    </row>
    <row r="74" spans="2:8" x14ac:dyDescent="0.25">
      <c r="B74" s="18" t="s">
        <v>47</v>
      </c>
      <c r="C74" s="19">
        <f>+C56+C68</f>
        <v>93365.121417999995</v>
      </c>
      <c r="D74" s="19">
        <f>+D68+D62+D56</f>
        <v>12062.676105000101</v>
      </c>
      <c r="E74" s="19">
        <v>5417.6722319999999</v>
      </c>
      <c r="F74" s="19">
        <f>+F56+F68</f>
        <v>14221</v>
      </c>
      <c r="G74" s="22">
        <f>SUM(C74:F74)</f>
        <v>125066.4697550001</v>
      </c>
    </row>
    <row r="75" spans="2:8" x14ac:dyDescent="0.25">
      <c r="B75" s="18" t="s">
        <v>48</v>
      </c>
      <c r="C75" s="19"/>
      <c r="D75" s="19">
        <f>(+D57+D63+D69)/3</f>
        <v>30.666666666666668</v>
      </c>
      <c r="E75" s="19">
        <v>42.370903954802259</v>
      </c>
      <c r="F75" s="19">
        <f>(F57+F69)/2</f>
        <v>30.5</v>
      </c>
      <c r="G75" s="19">
        <f>AVERAGE(C75:F75)</f>
        <v>34.512523540489646</v>
      </c>
    </row>
    <row r="76" spans="2:8" x14ac:dyDescent="0.25">
      <c r="B76" s="18" t="s">
        <v>49</v>
      </c>
      <c r="C76" s="19">
        <f>+C58+C70</f>
        <v>1313082</v>
      </c>
      <c r="D76" s="19">
        <f t="shared" ref="D76" si="1">+D70+D64+D58</f>
        <v>277814</v>
      </c>
      <c r="E76" s="19">
        <v>148381</v>
      </c>
      <c r="F76" s="19">
        <f>+F58+F70</f>
        <v>388380</v>
      </c>
      <c r="G76" s="19">
        <f>SUM(C76:F76)</f>
        <v>2127657</v>
      </c>
    </row>
    <row r="77" spans="2:8" x14ac:dyDescent="0.25">
      <c r="B77" s="18" t="s">
        <v>50</v>
      </c>
      <c r="C77" s="19">
        <f>+C59+C71</f>
        <v>2684498.8765480001</v>
      </c>
      <c r="D77" s="19">
        <f>+D71+D65+D59</f>
        <v>481433.88722899999</v>
      </c>
      <c r="E77" s="19">
        <v>237796.77883700002</v>
      </c>
      <c r="F77" s="19">
        <f>+F59+F71</f>
        <v>559940</v>
      </c>
      <c r="G77" s="22">
        <f>SUM(C77:F77)</f>
        <v>3963669.5426139999</v>
      </c>
    </row>
    <row r="78" spans="2:8" x14ac:dyDescent="0.25">
      <c r="B78" s="37"/>
      <c r="C78" s="37"/>
      <c r="D78" s="37"/>
      <c r="E78" s="37"/>
      <c r="F78" s="37"/>
      <c r="G78" s="37"/>
      <c r="H78" s="37"/>
    </row>
    <row r="79" spans="2:8" x14ac:dyDescent="0.25">
      <c r="B79" s="44" t="s">
        <v>55</v>
      </c>
      <c r="C79" s="45"/>
      <c r="D79" s="45"/>
      <c r="E79" s="45"/>
      <c r="F79" s="45"/>
      <c r="G79" s="46"/>
    </row>
    <row r="80" spans="2:8" x14ac:dyDescent="0.25">
      <c r="B80" s="47" t="s">
        <v>45</v>
      </c>
      <c r="C80" s="48"/>
      <c r="D80" s="48"/>
      <c r="E80" s="48"/>
      <c r="F80" s="48"/>
      <c r="G80" s="49"/>
    </row>
    <row r="81" spans="2:7" x14ac:dyDescent="0.25">
      <c r="B81" s="14" t="s">
        <v>46</v>
      </c>
      <c r="C81" s="24">
        <v>0</v>
      </c>
      <c r="D81" s="24">
        <v>0</v>
      </c>
      <c r="E81" s="24">
        <f t="shared" ref="E81:F83" si="2">SUM(A81:D81)</f>
        <v>0</v>
      </c>
      <c r="F81" s="24">
        <f t="shared" si="2"/>
        <v>0</v>
      </c>
      <c r="G81" s="20">
        <f>SUM(C81:F81)</f>
        <v>0</v>
      </c>
    </row>
    <row r="82" spans="2:7" x14ac:dyDescent="0.25">
      <c r="B82" s="14" t="s">
        <v>47</v>
      </c>
      <c r="C82" s="24">
        <v>0</v>
      </c>
      <c r="D82" s="24">
        <v>0</v>
      </c>
      <c r="E82" s="24">
        <f t="shared" si="2"/>
        <v>0</v>
      </c>
      <c r="F82" s="24">
        <f t="shared" si="2"/>
        <v>0</v>
      </c>
      <c r="G82" s="24">
        <f>SUM(C82:F82)</f>
        <v>0</v>
      </c>
    </row>
    <row r="83" spans="2:7" x14ac:dyDescent="0.25">
      <c r="B83" s="14" t="s">
        <v>48</v>
      </c>
      <c r="C83" s="24">
        <v>0</v>
      </c>
      <c r="D83" s="24">
        <v>0</v>
      </c>
      <c r="E83" s="24">
        <f t="shared" si="2"/>
        <v>0</v>
      </c>
      <c r="F83" s="24">
        <f t="shared" si="2"/>
        <v>0</v>
      </c>
      <c r="G83" s="24">
        <f>AVERAGE(C83:F83)</f>
        <v>0</v>
      </c>
    </row>
    <row r="84" spans="2:7" x14ac:dyDescent="0.25">
      <c r="B84" s="14" t="s">
        <v>49</v>
      </c>
      <c r="C84" s="24">
        <v>932</v>
      </c>
      <c r="D84" s="24">
        <v>107</v>
      </c>
      <c r="E84" s="24">
        <v>5</v>
      </c>
      <c r="F84" s="24">
        <v>84</v>
      </c>
      <c r="G84" s="24">
        <f>SUM(C84:F84)</f>
        <v>1128</v>
      </c>
    </row>
    <row r="85" spans="2:7" x14ac:dyDescent="0.25">
      <c r="B85" s="14" t="s">
        <v>50</v>
      </c>
      <c r="C85" s="24">
        <v>19537.579409999998</v>
      </c>
      <c r="D85" s="24">
        <v>1277</v>
      </c>
      <c r="E85" s="24">
        <v>58</v>
      </c>
      <c r="F85" s="24">
        <v>1473.152566</v>
      </c>
      <c r="G85" s="11">
        <f>SUM(C85:F85)</f>
        <v>22345.731975999999</v>
      </c>
    </row>
    <row r="86" spans="2:7" x14ac:dyDescent="0.25">
      <c r="B86" s="47" t="s">
        <v>51</v>
      </c>
      <c r="C86" s="48"/>
      <c r="D86" s="48"/>
      <c r="E86" s="48"/>
      <c r="F86" s="48"/>
      <c r="G86" s="49"/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27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27">
        <f>SUM(C88:F88)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27">
        <f>AVERAGE(C89:F89)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27">
        <f>SUM(C90:F90)</f>
        <v>0</v>
      </c>
    </row>
    <row r="91" spans="2:7" x14ac:dyDescent="0.25">
      <c r="B91" s="14" t="s">
        <v>50</v>
      </c>
      <c r="C91" s="20">
        <v>0</v>
      </c>
      <c r="D91" s="14">
        <v>0</v>
      </c>
      <c r="E91" s="20">
        <v>0</v>
      </c>
      <c r="F91" s="24">
        <v>0</v>
      </c>
      <c r="G91" s="27">
        <f>SUM(C91:F91)</f>
        <v>0</v>
      </c>
    </row>
    <row r="92" spans="2:7" x14ac:dyDescent="0.25">
      <c r="B92" s="47" t="s">
        <v>52</v>
      </c>
      <c r="C92" s="48"/>
      <c r="D92" s="48"/>
      <c r="E92" s="48"/>
      <c r="F92" s="48"/>
      <c r="G92" s="49"/>
    </row>
    <row r="93" spans="2:7" x14ac:dyDescent="0.25">
      <c r="B93" s="14" t="s">
        <v>46</v>
      </c>
      <c r="C93" s="27">
        <v>0</v>
      </c>
      <c r="D93" s="27">
        <v>0</v>
      </c>
      <c r="E93" s="27">
        <v>0</v>
      </c>
      <c r="F93" s="27">
        <v>0</v>
      </c>
      <c r="G93" s="27">
        <f>SUM(C93:F93)</f>
        <v>0</v>
      </c>
    </row>
    <row r="94" spans="2:7" x14ac:dyDescent="0.25">
      <c r="B94" s="14" t="s">
        <v>47</v>
      </c>
      <c r="C94" s="27">
        <v>0</v>
      </c>
      <c r="D94" s="27">
        <v>0</v>
      </c>
      <c r="E94" s="27">
        <v>0</v>
      </c>
      <c r="F94" s="27">
        <v>0</v>
      </c>
      <c r="G94" s="27">
        <f>SUM(C94:F94)</f>
        <v>0</v>
      </c>
    </row>
    <row r="95" spans="2:7" x14ac:dyDescent="0.25">
      <c r="B95" s="14" t="s">
        <v>48</v>
      </c>
      <c r="C95" s="27">
        <v>0</v>
      </c>
      <c r="D95" s="27">
        <v>0</v>
      </c>
      <c r="E95" s="27">
        <v>0</v>
      </c>
      <c r="F95" s="27">
        <v>0</v>
      </c>
      <c r="G95" s="27">
        <f>AVERAGE(C95:F95)</f>
        <v>0</v>
      </c>
    </row>
    <row r="96" spans="2:7" x14ac:dyDescent="0.25">
      <c r="B96" s="14" t="s">
        <v>49</v>
      </c>
      <c r="C96" s="27">
        <v>9</v>
      </c>
      <c r="D96" s="27">
        <v>0</v>
      </c>
      <c r="E96" s="27">
        <v>0</v>
      </c>
      <c r="F96" s="27">
        <v>6</v>
      </c>
      <c r="G96" s="27">
        <f>SUM(C96:F96)</f>
        <v>15</v>
      </c>
    </row>
    <row r="97" spans="2:8" x14ac:dyDescent="0.25">
      <c r="B97" s="14" t="s">
        <v>50</v>
      </c>
      <c r="C97" s="27">
        <v>144.12656200000001</v>
      </c>
      <c r="D97" s="27">
        <v>0</v>
      </c>
      <c r="E97" s="27">
        <v>0</v>
      </c>
      <c r="F97" s="27">
        <v>69.137629000000004</v>
      </c>
      <c r="G97" s="11">
        <f>SUM(C97:F97)</f>
        <v>213.26419100000001</v>
      </c>
    </row>
    <row r="98" spans="2:8" x14ac:dyDescent="0.25">
      <c r="B98" s="55" t="s">
        <v>56</v>
      </c>
      <c r="C98" s="56"/>
      <c r="D98" s="56"/>
      <c r="E98" s="56"/>
      <c r="F98" s="56"/>
      <c r="G98" s="57"/>
    </row>
    <row r="99" spans="2:8" x14ac:dyDescent="0.25">
      <c r="B99" s="18" t="s">
        <v>46</v>
      </c>
      <c r="C99" s="19">
        <v>0</v>
      </c>
      <c r="D99" s="18">
        <v>0</v>
      </c>
      <c r="E99" s="19">
        <v>0</v>
      </c>
      <c r="F99" s="21">
        <v>0</v>
      </c>
      <c r="G99" s="19">
        <f>SUM(C99:F99)</f>
        <v>0</v>
      </c>
    </row>
    <row r="100" spans="2:8" x14ac:dyDescent="0.25">
      <c r="B100" s="18" t="s">
        <v>47</v>
      </c>
      <c r="C100" s="19">
        <v>0</v>
      </c>
      <c r="D100" s="18">
        <v>0</v>
      </c>
      <c r="E100" s="19">
        <v>0</v>
      </c>
      <c r="F100" s="21">
        <v>0</v>
      </c>
      <c r="G100" s="22">
        <f>SUM(C100:F100)</f>
        <v>0</v>
      </c>
    </row>
    <row r="101" spans="2:8" x14ac:dyDescent="0.25">
      <c r="B101" s="18" t="s">
        <v>48</v>
      </c>
      <c r="C101" s="19">
        <v>0</v>
      </c>
      <c r="D101" s="18">
        <v>0</v>
      </c>
      <c r="E101" s="19">
        <v>0</v>
      </c>
      <c r="F101" s="21">
        <v>0</v>
      </c>
      <c r="G101" s="19">
        <f>AVERAGE(C101:F101)</f>
        <v>0</v>
      </c>
    </row>
    <row r="102" spans="2:8" x14ac:dyDescent="0.25">
      <c r="B102" s="18" t="s">
        <v>49</v>
      </c>
      <c r="C102" s="19">
        <f>+C96+C84</f>
        <v>941</v>
      </c>
      <c r="D102" s="19">
        <f t="shared" ref="D102:D103" si="3">+D96+D90+D84</f>
        <v>107</v>
      </c>
      <c r="E102" s="19">
        <f>+E84</f>
        <v>5</v>
      </c>
      <c r="F102" s="19">
        <f>+F96+F84</f>
        <v>90</v>
      </c>
      <c r="G102" s="19">
        <f>SUM(C102:F102)</f>
        <v>1143</v>
      </c>
    </row>
    <row r="103" spans="2:8" x14ac:dyDescent="0.25">
      <c r="B103" s="18" t="s">
        <v>50</v>
      </c>
      <c r="C103" s="19">
        <f>+C97+C85</f>
        <v>19681.705972</v>
      </c>
      <c r="D103" s="19">
        <f t="shared" si="3"/>
        <v>1277</v>
      </c>
      <c r="E103" s="19">
        <f>+E85</f>
        <v>58</v>
      </c>
      <c r="F103" s="19">
        <f>+F85+F97</f>
        <v>1542.290195</v>
      </c>
      <c r="G103" s="22">
        <f>SUM(C103:F103)</f>
        <v>22558.996167000001</v>
      </c>
    </row>
    <row r="104" spans="2:8" x14ac:dyDescent="0.25">
      <c r="B104" s="37"/>
      <c r="C104" s="37"/>
      <c r="D104" s="37"/>
      <c r="E104" s="37"/>
      <c r="F104" s="37"/>
      <c r="G104" s="37"/>
      <c r="H104" s="37"/>
    </row>
    <row r="105" spans="2:8" x14ac:dyDescent="0.25">
      <c r="B105" s="51" t="s">
        <v>57</v>
      </c>
      <c r="C105" s="51"/>
      <c r="D105" s="51"/>
      <c r="E105" s="51"/>
      <c r="F105" s="51"/>
      <c r="G105" s="51"/>
    </row>
    <row r="106" spans="2:8" x14ac:dyDescent="0.25">
      <c r="B106" s="54" t="s">
        <v>58</v>
      </c>
      <c r="C106" s="54"/>
      <c r="D106" s="54"/>
      <c r="E106" s="54"/>
      <c r="F106" s="54"/>
      <c r="G106" s="54"/>
    </row>
    <row r="107" spans="2:8" x14ac:dyDescent="0.25">
      <c r="B107" s="14" t="s">
        <v>59</v>
      </c>
      <c r="C107" s="13">
        <v>2.4342556412553193</v>
      </c>
      <c r="D107" s="13">
        <v>2.5499999999999998</v>
      </c>
      <c r="E107" s="13">
        <v>2.8498321342925657</v>
      </c>
      <c r="F107" s="13">
        <v>2.54</v>
      </c>
      <c r="G107" s="13">
        <f>AVERAGE(C107:F107)</f>
        <v>2.5935219438869712</v>
      </c>
    </row>
    <row r="108" spans="2:8" x14ac:dyDescent="0.25">
      <c r="B108" s="14" t="s">
        <v>60</v>
      </c>
      <c r="C108" s="13">
        <v>2.2868023545018881</v>
      </c>
      <c r="D108" s="13">
        <v>2.56</v>
      </c>
      <c r="E108" s="13">
        <v>2.7022088353413651</v>
      </c>
      <c r="F108" s="13">
        <v>2.54</v>
      </c>
      <c r="G108" s="13">
        <f>AVERAGE(C108:F108)</f>
        <v>2.5222527974608129</v>
      </c>
    </row>
    <row r="109" spans="2:8" x14ac:dyDescent="0.25">
      <c r="B109" s="14" t="s">
        <v>61</v>
      </c>
      <c r="C109" s="13">
        <v>2.1149422162548337</v>
      </c>
      <c r="D109" s="13">
        <v>2.56</v>
      </c>
      <c r="E109" s="13">
        <v>2.6613157894736843</v>
      </c>
      <c r="F109" s="13">
        <v>2.54</v>
      </c>
      <c r="G109" s="13">
        <f>AVERAGE(C109:F109)</f>
        <v>2.46906450143213</v>
      </c>
    </row>
    <row r="110" spans="2:8" x14ac:dyDescent="0.25">
      <c r="B110" s="54" t="s">
        <v>62</v>
      </c>
      <c r="C110" s="54"/>
      <c r="D110" s="54"/>
      <c r="E110" s="54"/>
      <c r="F110" s="54"/>
      <c r="G110" s="54"/>
    </row>
    <row r="111" spans="2:8" x14ac:dyDescent="0.25">
      <c r="B111" s="14" t="s">
        <v>59</v>
      </c>
      <c r="C111" s="13">
        <v>1.5499999999999983</v>
      </c>
      <c r="D111" s="13">
        <v>1.95</v>
      </c>
      <c r="E111" s="13">
        <v>1.95</v>
      </c>
      <c r="F111" s="13">
        <v>2.0699999999999998</v>
      </c>
      <c r="G111" s="13">
        <f>AVERAGE(C111:F111)</f>
        <v>1.8799999999999994</v>
      </c>
    </row>
    <row r="112" spans="2:8" x14ac:dyDescent="0.25">
      <c r="B112" s="14" t="s">
        <v>60</v>
      </c>
      <c r="C112" s="13">
        <v>1.5499999999999976</v>
      </c>
      <c r="D112" s="13">
        <v>2.09</v>
      </c>
      <c r="E112" s="13">
        <v>2.1</v>
      </c>
      <c r="F112" s="13">
        <v>2.0699999999999998</v>
      </c>
      <c r="G112" s="13">
        <f>AVERAGE(C112:F112)</f>
        <v>1.9524999999999992</v>
      </c>
    </row>
    <row r="113" spans="2:9" x14ac:dyDescent="0.25">
      <c r="B113" s="14" t="s">
        <v>61</v>
      </c>
      <c r="C113" s="13">
        <v>1.8777660550458972</v>
      </c>
      <c r="D113" s="13">
        <v>2.09</v>
      </c>
      <c r="E113" s="13">
        <v>2.1</v>
      </c>
      <c r="F113" s="13">
        <v>2.0699999999999998</v>
      </c>
      <c r="G113" s="13">
        <f>AVERAGE(C113:F113)</f>
        <v>2.0344415137614744</v>
      </c>
    </row>
    <row r="114" spans="2:9" x14ac:dyDescent="0.25">
      <c r="B114" s="37"/>
      <c r="C114" s="37"/>
      <c r="D114" s="37"/>
      <c r="E114" s="37"/>
      <c r="F114" s="37"/>
      <c r="G114" s="37"/>
      <c r="H114" s="37"/>
      <c r="I114" s="37"/>
    </row>
    <row r="115" spans="2:9" x14ac:dyDescent="0.25">
      <c r="B115" s="54" t="s">
        <v>63</v>
      </c>
      <c r="C115" s="54"/>
      <c r="D115" s="54"/>
      <c r="E115" s="54"/>
      <c r="F115" s="54"/>
      <c r="G115" s="54"/>
    </row>
    <row r="116" spans="2:9" x14ac:dyDescent="0.25">
      <c r="B116" s="14" t="s">
        <v>59</v>
      </c>
      <c r="C116" s="13">
        <v>1.5476876675603761</v>
      </c>
      <c r="D116" s="13">
        <v>1.79</v>
      </c>
      <c r="E116" s="13">
        <v>1.85</v>
      </c>
      <c r="F116" s="13">
        <v>1.79</v>
      </c>
      <c r="G116" s="13">
        <f>AVERAGE(C116:F116)</f>
        <v>1.7444219168900941</v>
      </c>
    </row>
    <row r="117" spans="2:9" x14ac:dyDescent="0.25">
      <c r="B117" s="14" t="s">
        <v>60</v>
      </c>
      <c r="C117" s="13">
        <v>1.7560220034742917</v>
      </c>
      <c r="D117" s="13">
        <v>1.79</v>
      </c>
      <c r="E117" s="13">
        <v>1.85</v>
      </c>
      <c r="F117" s="13">
        <v>1.79</v>
      </c>
      <c r="G117" s="13">
        <f>AVERAGE(C117:F117)</f>
        <v>1.7965055008685729</v>
      </c>
    </row>
    <row r="118" spans="2:9" x14ac:dyDescent="0.25">
      <c r="B118" s="14" t="s">
        <v>61</v>
      </c>
      <c r="C118" s="13">
        <v>1.7072425670369116</v>
      </c>
      <c r="D118" s="13">
        <v>1.74</v>
      </c>
      <c r="E118" s="13">
        <v>1.8460854436497198</v>
      </c>
      <c r="F118" s="13">
        <v>1.74</v>
      </c>
      <c r="G118" s="13">
        <f>AVERAGE(C118:F118)</f>
        <v>1.758332002671658</v>
      </c>
    </row>
    <row r="119" spans="2:9" x14ac:dyDescent="0.25">
      <c r="B119" s="47" t="s">
        <v>64</v>
      </c>
      <c r="C119" s="48"/>
      <c r="D119" s="48"/>
      <c r="E119" s="48"/>
      <c r="F119" s="48"/>
      <c r="G119" s="49"/>
    </row>
    <row r="120" spans="2:9" x14ac:dyDescent="0.25">
      <c r="B120" s="14" t="s">
        <v>59</v>
      </c>
      <c r="C120" s="13">
        <v>0</v>
      </c>
      <c r="D120" s="13">
        <v>1.43</v>
      </c>
      <c r="E120" s="13">
        <v>1.35</v>
      </c>
      <c r="F120" s="13">
        <v>1.43</v>
      </c>
      <c r="G120" s="13">
        <f>AVERAGE(C120:F120)</f>
        <v>1.0525</v>
      </c>
    </row>
    <row r="121" spans="2:9" x14ac:dyDescent="0.25">
      <c r="B121" s="14" t="s">
        <v>60</v>
      </c>
      <c r="C121" s="13">
        <v>1.34</v>
      </c>
      <c r="D121" s="13">
        <v>1.43</v>
      </c>
      <c r="E121" s="13">
        <v>0</v>
      </c>
      <c r="F121" s="13">
        <v>1.43</v>
      </c>
      <c r="G121" s="13">
        <f>AVERAGE(C121:F121)</f>
        <v>1.05</v>
      </c>
    </row>
    <row r="122" spans="2:9" x14ac:dyDescent="0.25">
      <c r="B122" s="14" t="s">
        <v>61</v>
      </c>
      <c r="C122" s="13">
        <v>1.43</v>
      </c>
      <c r="D122" s="13">
        <v>1.43</v>
      </c>
      <c r="E122" s="13">
        <v>1.5291358024691357</v>
      </c>
      <c r="F122" s="13">
        <v>1.43</v>
      </c>
      <c r="G122" s="13">
        <f>AVERAGE(C122:F122)</f>
        <v>1.4547839506172839</v>
      </c>
    </row>
    <row r="123" spans="2:9" x14ac:dyDescent="0.25">
      <c r="B123" s="37"/>
      <c r="C123" s="37"/>
      <c r="D123" s="37"/>
      <c r="E123" s="37"/>
      <c r="F123" s="37"/>
      <c r="G123" s="37"/>
      <c r="H123" s="37"/>
    </row>
    <row r="124" spans="2:9" x14ac:dyDescent="0.25">
      <c r="B124" s="44" t="s">
        <v>65</v>
      </c>
      <c r="C124" s="45"/>
      <c r="D124" s="45"/>
      <c r="E124" s="45"/>
      <c r="F124" s="45"/>
      <c r="G124" s="46"/>
    </row>
    <row r="125" spans="2:9" x14ac:dyDescent="0.25">
      <c r="B125" s="2" t="s">
        <v>66</v>
      </c>
      <c r="C125" s="13">
        <v>0</v>
      </c>
      <c r="D125" s="26">
        <v>0</v>
      </c>
      <c r="E125" s="20">
        <v>0</v>
      </c>
      <c r="F125" s="20">
        <v>0</v>
      </c>
      <c r="G125" s="11">
        <f>AVERAGE(C125:F125)</f>
        <v>0</v>
      </c>
    </row>
    <row r="126" spans="2:9" x14ac:dyDescent="0.25">
      <c r="B126" s="44" t="s">
        <v>67</v>
      </c>
      <c r="C126" s="45"/>
      <c r="D126" s="45"/>
      <c r="E126" s="45"/>
      <c r="F126" s="45"/>
      <c r="G126" s="46"/>
    </row>
    <row r="127" spans="2:9" x14ac:dyDescent="0.25">
      <c r="B127" s="3" t="s">
        <v>68</v>
      </c>
      <c r="C127" s="13">
        <v>2.0099999999999998</v>
      </c>
      <c r="D127" s="30">
        <v>2.1413679999999999</v>
      </c>
      <c r="E127" s="13">
        <v>2.1129291897906688</v>
      </c>
      <c r="F127" s="11">
        <v>0</v>
      </c>
      <c r="G127" s="11">
        <f>AVERAGE(C127:E127)</f>
        <v>2.0880990632635563</v>
      </c>
    </row>
    <row r="128" spans="2:9" x14ac:dyDescent="0.25">
      <c r="B128" s="58"/>
      <c r="C128" s="58"/>
      <c r="D128" s="58"/>
      <c r="E128" s="58"/>
      <c r="F128" s="58"/>
      <c r="G128" s="58"/>
      <c r="H128" s="58"/>
    </row>
    <row r="129" spans="2:9" x14ac:dyDescent="0.25">
      <c r="B129" s="51" t="s">
        <v>69</v>
      </c>
      <c r="C129" s="51"/>
      <c r="D129" s="51"/>
      <c r="E129" s="51"/>
      <c r="F129" s="51"/>
      <c r="G129" s="51"/>
    </row>
    <row r="130" spans="2:9" x14ac:dyDescent="0.25">
      <c r="B130" s="14" t="s">
        <v>70</v>
      </c>
      <c r="C130" s="27">
        <v>259450</v>
      </c>
      <c r="D130" s="27">
        <v>3357</v>
      </c>
      <c r="E130" s="27">
        <v>6071</v>
      </c>
      <c r="F130" s="27">
        <v>751</v>
      </c>
      <c r="G130" s="27">
        <f>SUM(C130:F130)</f>
        <v>269629</v>
      </c>
    </row>
    <row r="131" spans="2:9" x14ac:dyDescent="0.25">
      <c r="B131" s="14" t="s">
        <v>71</v>
      </c>
      <c r="C131" s="27">
        <v>161589.443447</v>
      </c>
      <c r="D131" s="27">
        <v>3624</v>
      </c>
      <c r="E131" s="27">
        <v>736063</v>
      </c>
      <c r="F131" s="27">
        <v>796.63097800000003</v>
      </c>
      <c r="G131" s="11">
        <f>SUM(C131:F131)</f>
        <v>902073.074425</v>
      </c>
    </row>
    <row r="132" spans="2:9" x14ac:dyDescent="0.25">
      <c r="B132" s="37"/>
      <c r="C132" s="37"/>
      <c r="D132" s="37"/>
      <c r="E132" s="37"/>
      <c r="F132" s="37"/>
      <c r="G132" s="37"/>
      <c r="H132" s="37"/>
    </row>
    <row r="133" spans="2:9" x14ac:dyDescent="0.25">
      <c r="B133" s="51" t="s">
        <v>72</v>
      </c>
      <c r="C133" s="51"/>
      <c r="D133" s="51"/>
      <c r="E133" s="51"/>
      <c r="F133" s="51"/>
      <c r="G133" s="51"/>
    </row>
    <row r="134" spans="2:9" x14ac:dyDescent="0.25">
      <c r="B134" s="14" t="s">
        <v>73</v>
      </c>
      <c r="C134" s="27">
        <v>399653</v>
      </c>
      <c r="D134" s="27">
        <v>432702</v>
      </c>
      <c r="E134" s="27">
        <v>171170</v>
      </c>
      <c r="F134" s="27">
        <v>395222</v>
      </c>
      <c r="G134" s="27">
        <f>SUM(C134:F134)</f>
        <v>1398747</v>
      </c>
    </row>
    <row r="135" spans="2:9" x14ac:dyDescent="0.25">
      <c r="B135" s="37"/>
      <c r="C135" s="37"/>
      <c r="D135" s="37"/>
      <c r="E135" s="37"/>
      <c r="F135" s="37"/>
      <c r="G135" s="37"/>
      <c r="H135" s="37"/>
    </row>
    <row r="136" spans="2:9" ht="21" x14ac:dyDescent="0.35">
      <c r="B136" s="59" t="s">
        <v>74</v>
      </c>
      <c r="C136" s="59"/>
      <c r="D136" s="59"/>
      <c r="E136" s="59"/>
      <c r="F136" s="59"/>
      <c r="G136" s="59"/>
    </row>
    <row r="137" spans="2:9" x14ac:dyDescent="0.25">
      <c r="B137" s="51" t="s">
        <v>75</v>
      </c>
      <c r="C137" s="51"/>
      <c r="D137" s="51"/>
      <c r="E137" s="51"/>
      <c r="F137" s="51"/>
      <c r="G137" s="51"/>
    </row>
    <row r="138" spans="2:9" x14ac:dyDescent="0.25">
      <c r="B138" s="14" t="s">
        <v>76</v>
      </c>
      <c r="C138" s="27">
        <v>0</v>
      </c>
      <c r="D138" s="27">
        <v>0</v>
      </c>
      <c r="E138" s="27">
        <v>0</v>
      </c>
      <c r="F138" s="27">
        <v>14324</v>
      </c>
      <c r="G138" s="27">
        <f>SUM(C138:F138)</f>
        <v>14324</v>
      </c>
      <c r="H138" s="7"/>
      <c r="I138" s="7"/>
    </row>
    <row r="139" spans="2:9" x14ac:dyDescent="0.25">
      <c r="B139" s="14" t="s">
        <v>77</v>
      </c>
      <c r="C139" s="27">
        <v>0</v>
      </c>
      <c r="D139" s="27">
        <v>0</v>
      </c>
      <c r="E139" s="27">
        <v>0</v>
      </c>
      <c r="F139" s="27">
        <v>168</v>
      </c>
      <c r="G139" s="27">
        <f>SUM(C139:F139)</f>
        <v>168</v>
      </c>
      <c r="H139" s="7"/>
      <c r="I139" s="7"/>
    </row>
    <row r="140" spans="2:9" x14ac:dyDescent="0.25">
      <c r="B140" s="37"/>
      <c r="C140" s="37"/>
      <c r="D140" s="37"/>
      <c r="E140" s="37"/>
      <c r="F140" s="37"/>
      <c r="G140" s="37"/>
      <c r="H140" s="37"/>
      <c r="I140" s="7"/>
    </row>
    <row r="141" spans="2:9" x14ac:dyDescent="0.25">
      <c r="B141" s="37"/>
      <c r="C141" s="37"/>
      <c r="D141" s="37"/>
      <c r="E141" s="37"/>
      <c r="F141" s="37"/>
      <c r="G141" s="37"/>
      <c r="H141" s="37"/>
    </row>
    <row r="142" spans="2:9" ht="21" x14ac:dyDescent="0.35">
      <c r="B142" s="41" t="s">
        <v>78</v>
      </c>
      <c r="C142" s="42"/>
      <c r="D142" s="42"/>
      <c r="E142" s="42"/>
      <c r="F142" s="42"/>
      <c r="G142" s="43"/>
    </row>
    <row r="143" spans="2:9" x14ac:dyDescent="0.25">
      <c r="B143" s="44" t="s">
        <v>79</v>
      </c>
      <c r="C143" s="45"/>
      <c r="D143" s="45"/>
      <c r="E143" s="45"/>
      <c r="F143" s="45"/>
      <c r="G143" s="46"/>
    </row>
    <row r="144" spans="2:9" x14ac:dyDescent="0.25">
      <c r="B144" s="37"/>
      <c r="C144" s="37"/>
      <c r="D144" s="37"/>
      <c r="E144" s="37"/>
      <c r="F144" s="37"/>
      <c r="G144" s="37"/>
      <c r="H144" s="37"/>
    </row>
    <row r="145" spans="2:8" x14ac:dyDescent="0.25">
      <c r="B145" s="54" t="s">
        <v>80</v>
      </c>
      <c r="C145" s="54"/>
      <c r="D145" s="54"/>
      <c r="E145" s="54"/>
      <c r="F145" s="54"/>
      <c r="G145" s="54"/>
    </row>
    <row r="146" spans="2:8" x14ac:dyDescent="0.25">
      <c r="B146" s="14" t="s">
        <v>81</v>
      </c>
      <c r="C146" s="27">
        <v>0</v>
      </c>
      <c r="D146" s="27">
        <v>11452</v>
      </c>
      <c r="E146" s="27">
        <v>0</v>
      </c>
      <c r="F146" s="27">
        <v>3750</v>
      </c>
      <c r="G146" s="27">
        <f>SUM(C146:F146)</f>
        <v>15202</v>
      </c>
    </row>
    <row r="147" spans="2:8" x14ac:dyDescent="0.25">
      <c r="B147" s="14" t="s">
        <v>82</v>
      </c>
      <c r="C147" s="27">
        <v>0</v>
      </c>
      <c r="D147" s="27">
        <v>251.86199999999999</v>
      </c>
      <c r="E147" s="27">
        <v>0</v>
      </c>
      <c r="F147" s="27">
        <v>45.543500000000002</v>
      </c>
      <c r="G147" s="11">
        <f>SUM(C147:F147)</f>
        <v>297.40550000000002</v>
      </c>
    </row>
    <row r="148" spans="2:8" x14ac:dyDescent="0.25">
      <c r="B148" s="37"/>
      <c r="C148" s="37"/>
      <c r="D148" s="37"/>
      <c r="E148" s="37"/>
      <c r="F148" s="37"/>
      <c r="G148" s="37"/>
      <c r="H148" s="37"/>
    </row>
    <row r="149" spans="2:8" x14ac:dyDescent="0.25">
      <c r="B149" s="54" t="s">
        <v>83</v>
      </c>
      <c r="C149" s="54"/>
      <c r="D149" s="54"/>
      <c r="E149" s="54"/>
      <c r="F149" s="54"/>
      <c r="G149" s="54"/>
    </row>
    <row r="150" spans="2:8" x14ac:dyDescent="0.25">
      <c r="B150" s="14" t="s">
        <v>84</v>
      </c>
      <c r="C150" s="27">
        <v>0</v>
      </c>
      <c r="D150" s="29">
        <v>0</v>
      </c>
      <c r="E150" s="27">
        <v>0</v>
      </c>
      <c r="F150" s="27">
        <v>0</v>
      </c>
      <c r="G150" s="27">
        <f>SUM(C150:F150)</f>
        <v>0</v>
      </c>
      <c r="H150"/>
    </row>
    <row r="151" spans="2:8" x14ac:dyDescent="0.25">
      <c r="B151" s="14" t="s">
        <v>85</v>
      </c>
      <c r="C151" s="27">
        <v>0</v>
      </c>
      <c r="D151" s="29">
        <v>2.1999999999999999E-2</v>
      </c>
      <c r="E151" s="27">
        <v>0</v>
      </c>
      <c r="F151" s="27">
        <v>0</v>
      </c>
      <c r="G151" s="11">
        <f>SUM(C151:F151)</f>
        <v>2.1999999999999999E-2</v>
      </c>
      <c r="H151"/>
    </row>
    <row r="152" spans="2:8" x14ac:dyDescent="0.25">
      <c r="B152" s="37"/>
      <c r="C152" s="37"/>
      <c r="D152" s="37"/>
      <c r="E152" s="37"/>
      <c r="F152" s="37"/>
      <c r="G152" s="37"/>
      <c r="H152" s="37"/>
    </row>
    <row r="153" spans="2:8" x14ac:dyDescent="0.25">
      <c r="B153" s="54" t="s">
        <v>86</v>
      </c>
      <c r="C153" s="54"/>
      <c r="D153" s="54"/>
      <c r="E153" s="54"/>
      <c r="F153" s="54"/>
      <c r="G153" s="54"/>
    </row>
    <row r="154" spans="2:8" x14ac:dyDescent="0.25">
      <c r="B154" s="14" t="s">
        <v>87</v>
      </c>
      <c r="C154" s="14">
        <v>0</v>
      </c>
      <c r="D154" s="27">
        <v>178</v>
      </c>
      <c r="E154" s="27">
        <v>0</v>
      </c>
      <c r="F154" s="27">
        <v>0</v>
      </c>
      <c r="G154" s="27">
        <f>SUM(C154:F154)</f>
        <v>178</v>
      </c>
      <c r="H154"/>
    </row>
    <row r="155" spans="2:8" x14ac:dyDescent="0.25">
      <c r="B155" s="14" t="s">
        <v>88</v>
      </c>
      <c r="C155" s="11">
        <v>0</v>
      </c>
      <c r="D155" s="27">
        <v>6.54</v>
      </c>
      <c r="E155" s="27">
        <v>0.09</v>
      </c>
      <c r="F155" s="27">
        <v>0</v>
      </c>
      <c r="G155" s="11">
        <f>SUM(C155:F155)</f>
        <v>6.63</v>
      </c>
      <c r="H155"/>
    </row>
    <row r="156" spans="2:8" x14ac:dyDescent="0.25">
      <c r="B156" s="37"/>
      <c r="C156" s="37"/>
      <c r="D156" s="37"/>
      <c r="E156" s="37"/>
      <c r="F156" s="37"/>
      <c r="G156" s="37"/>
      <c r="H156" s="37"/>
    </row>
    <row r="157" spans="2:8" x14ac:dyDescent="0.25">
      <c r="B157" s="47" t="s">
        <v>89</v>
      </c>
      <c r="C157" s="48"/>
      <c r="D157" s="48"/>
      <c r="E157" s="48"/>
      <c r="F157" s="48"/>
      <c r="G157" s="49"/>
    </row>
    <row r="158" spans="2:8" x14ac:dyDescent="0.25">
      <c r="B158" s="18" t="s">
        <v>90</v>
      </c>
      <c r="C158" s="19">
        <v>0</v>
      </c>
      <c r="D158" s="19">
        <f>D146+D150+D154</f>
        <v>11630</v>
      </c>
      <c r="E158" s="19">
        <v>0</v>
      </c>
      <c r="F158" s="19">
        <f t="shared" ref="F158:F159" si="4">+F146+F154</f>
        <v>3750</v>
      </c>
      <c r="G158" s="19">
        <f>SUM(C158:F158)</f>
        <v>15380</v>
      </c>
    </row>
    <row r="159" spans="2:8" x14ac:dyDescent="0.25">
      <c r="B159" s="18" t="s">
        <v>91</v>
      </c>
      <c r="C159" s="19">
        <v>0</v>
      </c>
      <c r="D159" s="19">
        <f>D147+D151+D155</f>
        <v>258.42399999999998</v>
      </c>
      <c r="E159" s="19">
        <v>0.09</v>
      </c>
      <c r="F159" s="19">
        <f t="shared" si="4"/>
        <v>45.543500000000002</v>
      </c>
      <c r="G159" s="22">
        <f>SUM(C159:F159)</f>
        <v>304.05749999999995</v>
      </c>
    </row>
    <row r="160" spans="2:8" x14ac:dyDescent="0.25">
      <c r="B160" s="37"/>
      <c r="C160" s="37"/>
      <c r="D160" s="37"/>
      <c r="E160" s="37"/>
      <c r="F160" s="37"/>
      <c r="G160" s="37"/>
      <c r="H160" s="37"/>
    </row>
    <row r="161" spans="2:8" x14ac:dyDescent="0.25">
      <c r="B161" s="51" t="s">
        <v>92</v>
      </c>
      <c r="C161" s="51"/>
      <c r="D161" s="51"/>
      <c r="E161" s="51"/>
      <c r="F161" s="51"/>
      <c r="G161" s="51"/>
    </row>
    <row r="162" spans="2:8" x14ac:dyDescent="0.25">
      <c r="B162" s="14" t="s">
        <v>87</v>
      </c>
      <c r="C162" s="27">
        <v>3141</v>
      </c>
      <c r="D162" s="27">
        <v>10121</v>
      </c>
      <c r="E162" s="27">
        <v>7981</v>
      </c>
      <c r="F162" s="27">
        <v>27822</v>
      </c>
      <c r="G162" s="27">
        <f>SUM(C162:F162)</f>
        <v>49065</v>
      </c>
    </row>
    <row r="163" spans="2:8" x14ac:dyDescent="0.25">
      <c r="B163" s="14" t="s">
        <v>88</v>
      </c>
      <c r="C163" s="27">
        <f>72999229/1000000</f>
        <v>72.999229</v>
      </c>
      <c r="D163" s="27">
        <v>47.199370999999999</v>
      </c>
      <c r="E163" s="27">
        <v>152.04538299999999</v>
      </c>
      <c r="F163" s="27">
        <v>142.80722</v>
      </c>
      <c r="G163" s="11">
        <f>SUM(C163:F163)</f>
        <v>415.05120299999999</v>
      </c>
    </row>
    <row r="164" spans="2:8" x14ac:dyDescent="0.25">
      <c r="B164" s="37"/>
      <c r="C164" s="37"/>
      <c r="D164" s="37"/>
      <c r="E164" s="37"/>
      <c r="F164" s="37"/>
      <c r="G164" s="37"/>
    </row>
    <row r="165" spans="2:8" x14ac:dyDescent="0.25">
      <c r="B165" s="44" t="s">
        <v>93</v>
      </c>
      <c r="C165" s="45"/>
      <c r="D165" s="45"/>
      <c r="E165" s="45"/>
      <c r="F165" s="45"/>
      <c r="G165" s="46"/>
    </row>
    <row r="166" spans="2:8" x14ac:dyDescent="0.25">
      <c r="B166" s="47" t="s">
        <v>94</v>
      </c>
      <c r="C166" s="48"/>
      <c r="D166" s="48"/>
      <c r="E166" s="48"/>
      <c r="F166" s="48"/>
      <c r="G166" s="49"/>
    </row>
    <row r="167" spans="2:8" x14ac:dyDescent="0.25">
      <c r="B167" s="14" t="s">
        <v>95</v>
      </c>
      <c r="C167" s="27">
        <v>1501</v>
      </c>
      <c r="D167" s="27">
        <v>3029</v>
      </c>
      <c r="E167" s="27">
        <v>124</v>
      </c>
      <c r="F167" s="27">
        <v>657</v>
      </c>
      <c r="G167" s="27">
        <f>SUM(C167:F167)</f>
        <v>5311</v>
      </c>
    </row>
    <row r="168" spans="2:8" x14ac:dyDescent="0.25">
      <c r="B168" s="14" t="s">
        <v>96</v>
      </c>
      <c r="C168" s="27">
        <f>52535000/1000000</f>
        <v>52.534999999999997</v>
      </c>
      <c r="D168" s="27">
        <v>65.290000000000006</v>
      </c>
      <c r="E168" s="27">
        <v>3.1</v>
      </c>
      <c r="F168" s="27">
        <v>22.7</v>
      </c>
      <c r="G168" s="11">
        <f>SUM(C168:F168)</f>
        <v>143.625</v>
      </c>
    </row>
    <row r="169" spans="2:8" x14ac:dyDescent="0.25">
      <c r="B169" s="37"/>
      <c r="C169" s="37"/>
      <c r="D169" s="37"/>
      <c r="E169" s="37"/>
      <c r="F169" s="37"/>
      <c r="G169" s="37"/>
    </row>
    <row r="170" spans="2:8" x14ac:dyDescent="0.25">
      <c r="B170" s="47" t="s">
        <v>97</v>
      </c>
      <c r="C170" s="48"/>
      <c r="D170" s="48"/>
      <c r="E170" s="48"/>
      <c r="F170" s="48"/>
      <c r="G170" s="49"/>
    </row>
    <row r="171" spans="2:8" x14ac:dyDescent="0.25">
      <c r="B171" s="14" t="s">
        <v>98</v>
      </c>
      <c r="C171" s="27">
        <v>1760</v>
      </c>
      <c r="D171" s="27">
        <v>247</v>
      </c>
      <c r="E171" s="27">
        <v>76</v>
      </c>
      <c r="F171" s="27">
        <v>417</v>
      </c>
      <c r="G171" s="27">
        <f>SUM(C171:F171)</f>
        <v>2500</v>
      </c>
    </row>
    <row r="172" spans="2:8" x14ac:dyDescent="0.25">
      <c r="B172" s="14" t="s">
        <v>96</v>
      </c>
      <c r="C172" s="27">
        <f>61600000/1000000</f>
        <v>61.6</v>
      </c>
      <c r="D172" s="27">
        <v>5.1870000000000003</v>
      </c>
      <c r="E172" s="27">
        <v>1.9</v>
      </c>
      <c r="F172" s="27">
        <v>10.41</v>
      </c>
      <c r="G172" s="11">
        <f>SUM(C172:F172)</f>
        <v>79.097000000000008</v>
      </c>
    </row>
    <row r="173" spans="2:8" x14ac:dyDescent="0.25">
      <c r="B173" s="37"/>
      <c r="C173" s="37"/>
      <c r="D173" s="37"/>
      <c r="E173" s="37"/>
      <c r="F173" s="37"/>
      <c r="G173" s="37"/>
      <c r="H173" s="37"/>
    </row>
    <row r="174" spans="2:8" x14ac:dyDescent="0.25">
      <c r="B174" s="47" t="s">
        <v>99</v>
      </c>
      <c r="C174" s="48"/>
      <c r="D174" s="48"/>
      <c r="E174" s="48"/>
      <c r="F174" s="48"/>
      <c r="G174" s="49"/>
    </row>
    <row r="175" spans="2:8" x14ac:dyDescent="0.25">
      <c r="B175" s="14" t="s">
        <v>98</v>
      </c>
      <c r="C175" s="27">
        <v>277</v>
      </c>
      <c r="D175" s="27">
        <v>302</v>
      </c>
      <c r="E175" s="27">
        <v>201</v>
      </c>
      <c r="F175" s="27">
        <v>36</v>
      </c>
      <c r="G175" s="27">
        <f>SUM(C175:F175)</f>
        <v>816</v>
      </c>
    </row>
    <row r="176" spans="2:8" x14ac:dyDescent="0.25">
      <c r="B176" s="14" t="s">
        <v>96</v>
      </c>
      <c r="C176" s="27">
        <f>29440000/1000000</f>
        <v>29.44</v>
      </c>
      <c r="D176" s="27">
        <v>31.52</v>
      </c>
      <c r="E176" s="27">
        <v>10.96</v>
      </c>
      <c r="F176" s="27">
        <v>3.86</v>
      </c>
      <c r="G176" s="11">
        <f>SUM(C176:F176)</f>
        <v>75.78</v>
      </c>
    </row>
    <row r="177" spans="2:8" x14ac:dyDescent="0.25">
      <c r="B177" s="37"/>
      <c r="C177" s="37"/>
      <c r="D177" s="37"/>
      <c r="E177" s="37"/>
      <c r="F177" s="37"/>
      <c r="G177" s="37"/>
      <c r="H177" s="37"/>
    </row>
    <row r="178" spans="2:8" x14ac:dyDescent="0.25">
      <c r="B178" s="47" t="s">
        <v>100</v>
      </c>
      <c r="C178" s="48"/>
      <c r="D178" s="48"/>
      <c r="E178" s="48"/>
      <c r="F178" s="48"/>
      <c r="G178" s="49"/>
    </row>
    <row r="179" spans="2:8" x14ac:dyDescent="0.25">
      <c r="B179" s="14" t="s">
        <v>98</v>
      </c>
      <c r="C179" s="27">
        <v>425</v>
      </c>
      <c r="D179" s="27">
        <v>110</v>
      </c>
      <c r="E179" s="27">
        <v>0</v>
      </c>
      <c r="F179" s="27">
        <v>0</v>
      </c>
      <c r="G179" s="27">
        <f>SUM(C179:F179)</f>
        <v>535</v>
      </c>
    </row>
    <row r="180" spans="2:8" x14ac:dyDescent="0.25">
      <c r="B180" s="14" t="s">
        <v>96</v>
      </c>
      <c r="C180" s="27">
        <f>17270000/1000000</f>
        <v>17.27</v>
      </c>
      <c r="D180" s="27">
        <v>10.868427000000001</v>
      </c>
      <c r="E180" s="27">
        <v>0</v>
      </c>
      <c r="F180" s="27">
        <v>0</v>
      </c>
      <c r="G180" s="11">
        <f>SUM(C180:F180)</f>
        <v>28.138427</v>
      </c>
    </row>
    <row r="181" spans="2:8" x14ac:dyDescent="0.25">
      <c r="B181" s="37"/>
      <c r="C181" s="37"/>
      <c r="D181" s="37"/>
      <c r="E181" s="37"/>
      <c r="F181" s="37"/>
      <c r="G181" s="37"/>
      <c r="H181" s="37"/>
    </row>
    <row r="182" spans="2:8" x14ac:dyDescent="0.25">
      <c r="B182" s="51" t="s">
        <v>101</v>
      </c>
      <c r="C182" s="51"/>
      <c r="D182" s="51"/>
      <c r="E182" s="51"/>
      <c r="F182" s="51"/>
      <c r="G182" s="51"/>
    </row>
    <row r="183" spans="2:8" x14ac:dyDescent="0.25">
      <c r="B183" s="18" t="s">
        <v>102</v>
      </c>
      <c r="C183" s="19">
        <f>+C179+C175+C171+C167</f>
        <v>3963</v>
      </c>
      <c r="D183" s="19">
        <f>D167+D171+D175+D179</f>
        <v>3688</v>
      </c>
      <c r="E183" s="19">
        <v>401</v>
      </c>
      <c r="F183" s="19">
        <f>+F179+F175+F171+F167</f>
        <v>1110</v>
      </c>
      <c r="G183" s="19">
        <f>SUM(C183:F183)</f>
        <v>9162</v>
      </c>
    </row>
    <row r="184" spans="2:8" x14ac:dyDescent="0.25">
      <c r="B184" s="18" t="s">
        <v>103</v>
      </c>
      <c r="C184" s="19">
        <f>+C180+C176+C172+C168</f>
        <v>160.845</v>
      </c>
      <c r="D184" s="19">
        <f>D168+D172+D176+D180</f>
        <v>112.865427</v>
      </c>
      <c r="E184" s="19">
        <v>15.96</v>
      </c>
      <c r="F184" s="19">
        <f>+F180+F176+F172+F168</f>
        <v>36.97</v>
      </c>
      <c r="G184" s="22">
        <f>SUM(C184:F184)</f>
        <v>326.64042699999993</v>
      </c>
    </row>
    <row r="185" spans="2:8" x14ac:dyDescent="0.25">
      <c r="B185" s="37"/>
      <c r="C185" s="37"/>
      <c r="D185" s="37"/>
      <c r="E185" s="37"/>
      <c r="F185" s="37"/>
      <c r="G185" s="37"/>
      <c r="H185" s="37"/>
    </row>
    <row r="186" spans="2:8" x14ac:dyDescent="0.25">
      <c r="B186" s="51" t="s">
        <v>104</v>
      </c>
      <c r="C186" s="51"/>
      <c r="D186" s="51"/>
      <c r="E186" s="51"/>
      <c r="F186" s="51"/>
      <c r="G186" s="51"/>
    </row>
    <row r="187" spans="2:8" x14ac:dyDescent="0.25">
      <c r="B187" s="14" t="s">
        <v>105</v>
      </c>
      <c r="C187" s="27">
        <v>7671</v>
      </c>
      <c r="D187" s="27">
        <v>0</v>
      </c>
      <c r="E187" s="27">
        <v>103</v>
      </c>
      <c r="F187" s="27">
        <v>32682</v>
      </c>
      <c r="G187" s="27">
        <f>SUM(C187:F187)</f>
        <v>40456</v>
      </c>
    </row>
    <row r="188" spans="2:8" x14ac:dyDescent="0.25">
      <c r="B188" s="14" t="s">
        <v>106</v>
      </c>
      <c r="C188" s="27">
        <f>121438575/1000000</f>
        <v>121.438575</v>
      </c>
      <c r="D188" s="27">
        <v>0</v>
      </c>
      <c r="E188" s="27">
        <v>5.13</v>
      </c>
      <c r="F188" s="27">
        <v>225.32071999999999</v>
      </c>
      <c r="G188" s="11">
        <f>SUM(C188:F188)</f>
        <v>351.889295</v>
      </c>
    </row>
    <row r="189" spans="2:8" x14ac:dyDescent="0.25">
      <c r="B189" s="37"/>
      <c r="C189" s="37"/>
      <c r="D189" s="37"/>
      <c r="E189" s="37"/>
      <c r="F189" s="37"/>
      <c r="G189" s="37"/>
      <c r="H189" s="37"/>
    </row>
    <row r="190" spans="2:8" x14ac:dyDescent="0.25">
      <c r="B190" s="51" t="s">
        <v>107</v>
      </c>
      <c r="C190" s="51"/>
      <c r="D190" s="51"/>
      <c r="E190" s="51"/>
      <c r="F190" s="51"/>
      <c r="G190" s="51"/>
    </row>
    <row r="191" spans="2:8" x14ac:dyDescent="0.25">
      <c r="B191" s="18" t="s">
        <v>108</v>
      </c>
      <c r="C191" s="19">
        <f>C187+C162+C183</f>
        <v>14775</v>
      </c>
      <c r="D191" s="19">
        <f>+D187+D183+D162+D158</f>
        <v>25439</v>
      </c>
      <c r="E191" s="19">
        <v>8485</v>
      </c>
      <c r="F191" s="19">
        <f>F158+F162+F183+F187</f>
        <v>65364</v>
      </c>
      <c r="G191" s="19">
        <f>SUM(C191:F191)</f>
        <v>114063</v>
      </c>
    </row>
    <row r="192" spans="2:8" x14ac:dyDescent="0.25">
      <c r="B192" s="18" t="s">
        <v>109</v>
      </c>
      <c r="C192" s="19">
        <f>C188+C163+C184</f>
        <v>355.282804</v>
      </c>
      <c r="D192" s="19">
        <f>+D188+D184+D163+D159</f>
        <v>418.48879799999997</v>
      </c>
      <c r="E192" s="19">
        <v>173.13538299999999</v>
      </c>
      <c r="F192" s="19">
        <f>F159+F184+F163+F188</f>
        <v>450.64143999999999</v>
      </c>
      <c r="G192" s="22">
        <f>SUM(C192:F192)</f>
        <v>1397.548425</v>
      </c>
    </row>
    <row r="193" spans="3:7" s="1" customFormat="1" x14ac:dyDescent="0.25">
      <c r="G193" s="7"/>
    </row>
    <row r="194" spans="3:7" s="1" customFormat="1" x14ac:dyDescent="0.25">
      <c r="C194" s="7"/>
      <c r="G194" s="7"/>
    </row>
    <row r="195" spans="3:7" s="1" customFormat="1" x14ac:dyDescent="0.25">
      <c r="G195" s="7"/>
    </row>
    <row r="196" spans="3:7" s="1" customFormat="1" x14ac:dyDescent="0.25">
      <c r="C196" s="8"/>
      <c r="G196" s="7"/>
    </row>
  </sheetData>
  <mergeCells count="80">
    <mergeCell ref="B189:H189"/>
    <mergeCell ref="B190:G190"/>
    <mergeCell ref="B177:H177"/>
    <mergeCell ref="B178:G178"/>
    <mergeCell ref="B181:H181"/>
    <mergeCell ref="B182:G182"/>
    <mergeCell ref="B185:H185"/>
    <mergeCell ref="B186:G186"/>
    <mergeCell ref="B174:G174"/>
    <mergeCell ref="B153:G153"/>
    <mergeCell ref="B156:H156"/>
    <mergeCell ref="B157:G157"/>
    <mergeCell ref="B160:H160"/>
    <mergeCell ref="B161:G161"/>
    <mergeCell ref="B164:G164"/>
    <mergeCell ref="B165:G165"/>
    <mergeCell ref="B166:G166"/>
    <mergeCell ref="B169:G169"/>
    <mergeCell ref="B170:G170"/>
    <mergeCell ref="B173:H173"/>
    <mergeCell ref="B152:H152"/>
    <mergeCell ref="B135:H135"/>
    <mergeCell ref="B136:G136"/>
    <mergeCell ref="B137:G137"/>
    <mergeCell ref="B140:H140"/>
    <mergeCell ref="B141:H141"/>
    <mergeCell ref="B142:G142"/>
    <mergeCell ref="B143:G143"/>
    <mergeCell ref="B144:H144"/>
    <mergeCell ref="B145:G145"/>
    <mergeCell ref="B148:H148"/>
    <mergeCell ref="B149:G149"/>
    <mergeCell ref="B133:G133"/>
    <mergeCell ref="B106:G106"/>
    <mergeCell ref="B110:G110"/>
    <mergeCell ref="B114:I114"/>
    <mergeCell ref="B115:G115"/>
    <mergeCell ref="B119:G119"/>
    <mergeCell ref="B123:H123"/>
    <mergeCell ref="B124:G124"/>
    <mergeCell ref="B126:G126"/>
    <mergeCell ref="B128:H128"/>
    <mergeCell ref="B129:G129"/>
    <mergeCell ref="B132:H132"/>
    <mergeCell ref="B105:G105"/>
    <mergeCell ref="B54:G54"/>
    <mergeCell ref="B60:G60"/>
    <mergeCell ref="B66:G66"/>
    <mergeCell ref="B72:G72"/>
    <mergeCell ref="B78:H78"/>
    <mergeCell ref="B79:G79"/>
    <mergeCell ref="B80:G80"/>
    <mergeCell ref="B86:G86"/>
    <mergeCell ref="B92:G92"/>
    <mergeCell ref="B98:G98"/>
    <mergeCell ref="B104:H104"/>
    <mergeCell ref="B53:G53"/>
    <mergeCell ref="B32:G32"/>
    <mergeCell ref="B36:G36"/>
    <mergeCell ref="B38:G38"/>
    <mergeCell ref="B39:G39"/>
    <mergeCell ref="B42:H42"/>
    <mergeCell ref="B43:G43"/>
    <mergeCell ref="B46:H46"/>
    <mergeCell ref="B47:G47"/>
    <mergeCell ref="B50:H50"/>
    <mergeCell ref="B51:G51"/>
    <mergeCell ref="B52:H52"/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93198-2179-4C5B-AD20-926F3523F829}">
  <dimension ref="A1:BD196"/>
  <sheetViews>
    <sheetView zoomScaleNormal="100" workbookViewId="0">
      <selection activeCell="C6" sqref="C6"/>
    </sheetView>
  </sheetViews>
  <sheetFormatPr baseColWidth="10" defaultColWidth="53.140625" defaultRowHeight="15" x14ac:dyDescent="0.25"/>
  <cols>
    <col min="1" max="1" width="1.42578125" style="1" bestFit="1" customWidth="1"/>
    <col min="2" max="2" width="53.28515625" customWidth="1"/>
    <col min="3" max="3" width="17.42578125" bestFit="1" customWidth="1"/>
    <col min="4" max="4" width="16.42578125" bestFit="1" customWidth="1"/>
    <col min="5" max="6" width="14.7109375" bestFit="1" customWidth="1"/>
    <col min="7" max="7" width="16.42578125" style="7" bestFit="1" customWidth="1"/>
    <col min="8" max="56" width="53.140625" style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38" t="s">
        <v>1</v>
      </c>
      <c r="D2" s="39"/>
      <c r="E2" s="39"/>
      <c r="F2" s="39"/>
      <c r="G2" s="40"/>
    </row>
    <row r="3" spans="1:7" ht="21" x14ac:dyDescent="0.35">
      <c r="B3" s="1"/>
      <c r="C3" s="5" t="s">
        <v>2</v>
      </c>
      <c r="D3" s="5" t="s">
        <v>3</v>
      </c>
      <c r="E3" s="6" t="s">
        <v>4</v>
      </c>
      <c r="F3" s="5" t="s">
        <v>5</v>
      </c>
      <c r="G3" s="15" t="s">
        <v>6</v>
      </c>
    </row>
    <row r="4" spans="1:7" ht="21" x14ac:dyDescent="0.35">
      <c r="B4" s="41" t="s">
        <v>7</v>
      </c>
      <c r="C4" s="42"/>
      <c r="D4" s="42"/>
      <c r="E4" s="42"/>
      <c r="F4" s="42"/>
      <c r="G4" s="43"/>
    </row>
    <row r="5" spans="1:7" x14ac:dyDescent="0.25">
      <c r="B5" s="44" t="s">
        <v>8</v>
      </c>
      <c r="C5" s="45"/>
      <c r="D5" s="45"/>
      <c r="E5" s="45"/>
      <c r="F5" s="45"/>
      <c r="G5" s="46"/>
    </row>
    <row r="6" spans="1:7" x14ac:dyDescent="0.25">
      <c r="B6" s="4" t="s">
        <v>9</v>
      </c>
      <c r="C6" s="12">
        <v>54243</v>
      </c>
      <c r="D6" s="12">
        <v>8220</v>
      </c>
      <c r="E6" s="12">
        <v>7551</v>
      </c>
      <c r="F6" s="12">
        <v>9094</v>
      </c>
      <c r="G6" s="12">
        <f>+F6+E6+D6+C6</f>
        <v>79108</v>
      </c>
    </row>
    <row r="7" spans="1:7" x14ac:dyDescent="0.25">
      <c r="B7" s="14" t="s">
        <v>10</v>
      </c>
      <c r="C7" s="12">
        <v>565</v>
      </c>
      <c r="D7" s="12">
        <v>289</v>
      </c>
      <c r="E7" s="12">
        <v>23</v>
      </c>
      <c r="F7" s="12">
        <v>131</v>
      </c>
      <c r="G7" s="12">
        <f>+F7+E7+D7+C7</f>
        <v>1008</v>
      </c>
    </row>
    <row r="8" spans="1:7" x14ac:dyDescent="0.25">
      <c r="B8" s="18" t="s">
        <v>11</v>
      </c>
      <c r="C8" s="25">
        <f>SUM(C6:C7)</f>
        <v>54808</v>
      </c>
      <c r="D8" s="25">
        <f>+D6+D7</f>
        <v>8509</v>
      </c>
      <c r="E8" s="25">
        <v>7574</v>
      </c>
      <c r="F8" s="25">
        <v>9225</v>
      </c>
      <c r="G8" s="25">
        <f>+F8+E8+D8+C8</f>
        <v>80116</v>
      </c>
    </row>
    <row r="9" spans="1:7" x14ac:dyDescent="0.25">
      <c r="B9" s="37"/>
      <c r="C9" s="37"/>
      <c r="D9" s="37"/>
      <c r="E9" s="37"/>
      <c r="F9" s="37"/>
      <c r="G9" s="37"/>
    </row>
    <row r="10" spans="1:7" x14ac:dyDescent="0.25">
      <c r="B10" s="44" t="s">
        <v>12</v>
      </c>
      <c r="C10" s="45"/>
      <c r="D10" s="45"/>
      <c r="E10" s="45"/>
      <c r="F10" s="45"/>
      <c r="G10" s="46"/>
    </row>
    <row r="11" spans="1:7" x14ac:dyDescent="0.25">
      <c r="B11" s="47" t="s">
        <v>13</v>
      </c>
      <c r="C11" s="48"/>
      <c r="D11" s="48"/>
      <c r="E11" s="48"/>
      <c r="F11" s="48"/>
      <c r="G11" s="49"/>
    </row>
    <row r="12" spans="1:7" x14ac:dyDescent="0.25">
      <c r="B12" s="16" t="s">
        <v>14</v>
      </c>
      <c r="C12" s="17">
        <v>721109</v>
      </c>
      <c r="D12" s="17">
        <v>88252</v>
      </c>
      <c r="E12" s="17">
        <v>34470</v>
      </c>
      <c r="F12" s="17">
        <v>0</v>
      </c>
      <c r="G12" s="17">
        <f>SUM(C12:F12)</f>
        <v>843831</v>
      </c>
    </row>
    <row r="13" spans="1:7" x14ac:dyDescent="0.25">
      <c r="B13" s="16" t="s">
        <v>15</v>
      </c>
      <c r="C13" s="17">
        <v>2593041</v>
      </c>
      <c r="D13" s="17">
        <v>549540</v>
      </c>
      <c r="E13" s="17">
        <v>226445</v>
      </c>
      <c r="F13" s="17">
        <v>0</v>
      </c>
      <c r="G13" s="17">
        <f>SUM(C13:F13)</f>
        <v>3369026</v>
      </c>
    </row>
    <row r="14" spans="1:7" x14ac:dyDescent="0.25">
      <c r="B14" s="18" t="s">
        <v>16</v>
      </c>
      <c r="C14" s="19">
        <f>C13+C12</f>
        <v>3314150</v>
      </c>
      <c r="D14" s="19">
        <v>930645</v>
      </c>
      <c r="E14" s="19">
        <v>260915</v>
      </c>
      <c r="F14" s="19">
        <v>333396</v>
      </c>
      <c r="G14" s="19">
        <f>SUM(C14:F14)</f>
        <v>4839106</v>
      </c>
    </row>
    <row r="15" spans="1:7" x14ac:dyDescent="0.25">
      <c r="B15" s="18" t="s">
        <v>17</v>
      </c>
      <c r="C15" s="19">
        <v>563364</v>
      </c>
      <c r="D15" s="19">
        <v>224790</v>
      </c>
      <c r="E15" s="19">
        <v>3657</v>
      </c>
      <c r="F15" s="19">
        <v>147417</v>
      </c>
      <c r="G15" s="19">
        <f>SUM(C15:F15)</f>
        <v>939228</v>
      </c>
    </row>
    <row r="16" spans="1:7" x14ac:dyDescent="0.25">
      <c r="B16" s="18" t="s">
        <v>18</v>
      </c>
      <c r="C16" s="19">
        <f>C15+C14</f>
        <v>3877514</v>
      </c>
      <c r="D16" s="19">
        <f>+D14+D15</f>
        <v>1155435</v>
      </c>
      <c r="E16" s="19">
        <v>264572</v>
      </c>
      <c r="F16" s="19">
        <v>480813</v>
      </c>
      <c r="G16" s="19">
        <f>SUM(C16:F16)</f>
        <v>5778334</v>
      </c>
    </row>
    <row r="17" spans="2:8" x14ac:dyDescent="0.25">
      <c r="B17" s="37"/>
      <c r="C17" s="37"/>
      <c r="D17" s="37"/>
      <c r="E17" s="37"/>
      <c r="F17" s="37"/>
      <c r="G17" s="37"/>
    </row>
    <row r="18" spans="2:8" x14ac:dyDescent="0.25">
      <c r="B18" s="47" t="s">
        <v>19</v>
      </c>
      <c r="C18" s="48"/>
      <c r="D18" s="48"/>
      <c r="E18" s="48"/>
      <c r="F18" s="48"/>
      <c r="G18" s="49"/>
    </row>
    <row r="19" spans="2:8" x14ac:dyDescent="0.25">
      <c r="B19" s="14" t="s">
        <v>20</v>
      </c>
      <c r="C19" s="27">
        <v>477</v>
      </c>
      <c r="D19" s="27">
        <v>3</v>
      </c>
      <c r="E19" s="27">
        <v>0</v>
      </c>
      <c r="F19" s="27">
        <v>0</v>
      </c>
      <c r="G19" s="27">
        <f>SUM(C19:F19)</f>
        <v>480</v>
      </c>
    </row>
    <row r="20" spans="2:8" x14ac:dyDescent="0.25">
      <c r="B20" s="50"/>
      <c r="C20" s="50"/>
      <c r="D20" s="50"/>
      <c r="E20" s="50"/>
      <c r="F20" s="50"/>
      <c r="G20" s="50"/>
    </row>
    <row r="21" spans="2:8" x14ac:dyDescent="0.25">
      <c r="B21" s="18" t="s">
        <v>21</v>
      </c>
      <c r="C21" s="19">
        <f>+C16+C19</f>
        <v>3877991</v>
      </c>
      <c r="D21" s="19">
        <v>1155438</v>
      </c>
      <c r="E21" s="19">
        <f>+E16</f>
        <v>264572</v>
      </c>
      <c r="F21" s="19">
        <f>F16</f>
        <v>480813</v>
      </c>
      <c r="G21" s="19">
        <f>SUM(C21:F21)</f>
        <v>5778814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19">
        <v>412681</v>
      </c>
      <c r="D24" s="19">
        <v>232035</v>
      </c>
      <c r="E24" s="19">
        <v>177437</v>
      </c>
      <c r="F24" s="19">
        <v>637390</v>
      </c>
      <c r="G24" s="19">
        <f>SUM(C24:F24)</f>
        <v>1459543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19">
        <f>+C24+C21</f>
        <v>4290672</v>
      </c>
      <c r="D27" s="19">
        <f>+D24+D21</f>
        <v>1387473</v>
      </c>
      <c r="E27" s="19">
        <f>+E24+E21</f>
        <v>442009</v>
      </c>
      <c r="F27" s="19">
        <v>1118203</v>
      </c>
      <c r="G27" s="19">
        <f>SUM(C27:F27)</f>
        <v>7238357</v>
      </c>
    </row>
    <row r="28" spans="2:8" x14ac:dyDescent="0.25">
      <c r="B28" s="37"/>
      <c r="C28" s="37"/>
      <c r="D28" s="37"/>
      <c r="E28" s="37"/>
      <c r="F28" s="37"/>
      <c r="G28" s="37"/>
      <c r="H28" s="37"/>
    </row>
    <row r="29" spans="2:8" x14ac:dyDescent="0.25">
      <c r="B29" s="44" t="s">
        <v>26</v>
      </c>
      <c r="C29" s="45"/>
      <c r="D29" s="45"/>
      <c r="E29" s="45"/>
      <c r="F29" s="45"/>
      <c r="G29" s="46"/>
    </row>
    <row r="30" spans="2:8" x14ac:dyDescent="0.25">
      <c r="B30" s="14" t="s">
        <v>27</v>
      </c>
      <c r="C30" s="27">
        <v>1158145</v>
      </c>
      <c r="D30" s="27">
        <v>111717</v>
      </c>
      <c r="E30" s="27">
        <v>62669</v>
      </c>
      <c r="F30" s="27">
        <v>172242</v>
      </c>
      <c r="G30" s="27">
        <f>SUM(C30:F30)</f>
        <v>1504773</v>
      </c>
    </row>
    <row r="31" spans="2:8" x14ac:dyDescent="0.25">
      <c r="B31" s="37"/>
      <c r="C31" s="37"/>
      <c r="D31" s="37"/>
      <c r="E31" s="37"/>
      <c r="F31" s="37"/>
      <c r="G31" s="37"/>
      <c r="H31" s="37"/>
    </row>
    <row r="32" spans="2:8" x14ac:dyDescent="0.25">
      <c r="B32" s="44" t="s">
        <v>28</v>
      </c>
      <c r="C32" s="45"/>
      <c r="D32" s="45"/>
      <c r="E32" s="45"/>
      <c r="F32" s="45"/>
      <c r="G32" s="46"/>
    </row>
    <row r="33" spans="2:9" x14ac:dyDescent="0.25">
      <c r="B33" s="14" t="s">
        <v>29</v>
      </c>
      <c r="C33" s="27">
        <v>4807540351940</v>
      </c>
      <c r="D33" s="27">
        <v>745486347456</v>
      </c>
      <c r="E33" s="27">
        <v>280351456952</v>
      </c>
      <c r="F33" s="27">
        <v>540792680663</v>
      </c>
      <c r="G33" s="27">
        <f>SUM(C33:F33)</f>
        <v>6374170837011</v>
      </c>
    </row>
    <row r="34" spans="2:9" x14ac:dyDescent="0.25">
      <c r="B34" s="14" t="s">
        <v>30</v>
      </c>
      <c r="C34" s="27">
        <v>222144361096</v>
      </c>
      <c r="D34" s="27">
        <v>95186859595</v>
      </c>
      <c r="E34" s="27">
        <v>66621877100</v>
      </c>
      <c r="F34" s="27">
        <v>232373066800</v>
      </c>
      <c r="G34" s="27">
        <f>SUM(C34:F34)</f>
        <v>616326164591</v>
      </c>
    </row>
    <row r="35" spans="2:9" x14ac:dyDescent="0.25">
      <c r="B35" s="32" t="s">
        <v>31</v>
      </c>
      <c r="C35" s="33">
        <f>SUM(C33:C34)</f>
        <v>5029684713036</v>
      </c>
      <c r="D35" s="33">
        <f>+D34+D33</f>
        <v>840673207051</v>
      </c>
      <c r="E35" s="33">
        <v>346973334052</v>
      </c>
      <c r="F35" s="33">
        <v>773165747463</v>
      </c>
      <c r="G35" s="33">
        <f>SUM(C35:F35)</f>
        <v>6990497001602</v>
      </c>
    </row>
    <row r="36" spans="2:9" x14ac:dyDescent="0.25">
      <c r="B36" s="52" t="s">
        <v>32</v>
      </c>
      <c r="C36" s="52"/>
      <c r="D36" s="52"/>
      <c r="E36" s="52"/>
      <c r="F36" s="52"/>
      <c r="G36" s="52"/>
      <c r="H36"/>
    </row>
    <row r="37" spans="2:9" x14ac:dyDescent="0.25">
      <c r="B37" s="31"/>
      <c r="C37" s="31"/>
      <c r="D37" s="31"/>
      <c r="E37" s="31"/>
      <c r="F37" s="31"/>
      <c r="G37" s="31"/>
      <c r="H37" s="31"/>
    </row>
    <row r="38" spans="2:9" ht="21" x14ac:dyDescent="0.35">
      <c r="B38" s="41" t="s">
        <v>33</v>
      </c>
      <c r="C38" s="42"/>
      <c r="D38" s="42"/>
      <c r="E38" s="42"/>
      <c r="F38" s="42"/>
      <c r="G38" s="43"/>
    </row>
    <row r="39" spans="2:9" x14ac:dyDescent="0.25">
      <c r="B39" s="44" t="s">
        <v>34</v>
      </c>
      <c r="C39" s="45"/>
      <c r="D39" s="45"/>
      <c r="E39" s="45"/>
      <c r="F39" s="45"/>
      <c r="G39" s="46"/>
    </row>
    <row r="40" spans="2:9" x14ac:dyDescent="0.25">
      <c r="B40" s="14" t="s">
        <v>35</v>
      </c>
      <c r="C40" s="27">
        <v>592521</v>
      </c>
      <c r="D40" s="27">
        <v>99329</v>
      </c>
      <c r="E40" s="27">
        <v>40065</v>
      </c>
      <c r="F40" s="27">
        <v>55967</v>
      </c>
      <c r="G40" s="27">
        <f>SUM(C40:F40)</f>
        <v>787882</v>
      </c>
      <c r="H40" s="7"/>
      <c r="I40" s="7"/>
    </row>
    <row r="41" spans="2:9" x14ac:dyDescent="0.25">
      <c r="B41" s="14" t="s">
        <v>36</v>
      </c>
      <c r="C41" s="27">
        <f>3895348323/1000000</f>
        <v>3895.3483230000002</v>
      </c>
      <c r="D41" s="27">
        <v>1104.5734150000001</v>
      </c>
      <c r="E41" s="27">
        <v>412.1</v>
      </c>
      <c r="F41" s="27">
        <v>579.06675199999995</v>
      </c>
      <c r="G41" s="11">
        <f>SUM(C41:F41)</f>
        <v>5991.0884900000001</v>
      </c>
      <c r="H41" s="7"/>
      <c r="I41" s="7"/>
    </row>
    <row r="42" spans="2:9" x14ac:dyDescent="0.25">
      <c r="B42" s="37"/>
      <c r="C42" s="37"/>
      <c r="D42" s="37"/>
      <c r="E42" s="37"/>
      <c r="F42" s="37"/>
      <c r="G42" s="37"/>
      <c r="H42" s="37"/>
      <c r="I42" s="7"/>
    </row>
    <row r="43" spans="2:9" x14ac:dyDescent="0.25">
      <c r="B43" s="51" t="s">
        <v>37</v>
      </c>
      <c r="C43" s="51"/>
      <c r="D43" s="51"/>
      <c r="E43" s="51"/>
      <c r="F43" s="51"/>
      <c r="G43" s="51"/>
      <c r="I43" s="7"/>
    </row>
    <row r="44" spans="2:9" x14ac:dyDescent="0.25">
      <c r="B44" s="14" t="s">
        <v>38</v>
      </c>
      <c r="C44" s="27">
        <v>5</v>
      </c>
      <c r="D44" s="27">
        <v>3</v>
      </c>
      <c r="E44" s="27">
        <v>2</v>
      </c>
      <c r="F44" s="27">
        <v>0</v>
      </c>
      <c r="G44" s="27">
        <f>SUM(C44:F44)</f>
        <v>10</v>
      </c>
      <c r="H44" s="7"/>
      <c r="I44" s="7"/>
    </row>
    <row r="45" spans="2:9" x14ac:dyDescent="0.25">
      <c r="B45" s="14" t="s">
        <v>39</v>
      </c>
      <c r="C45" s="11">
        <f>4699317/1000000</f>
        <v>4.6993169999999997</v>
      </c>
      <c r="D45" s="11">
        <v>2.8898E-2</v>
      </c>
      <c r="E45" s="11">
        <v>0.02</v>
      </c>
      <c r="F45" s="11">
        <v>0</v>
      </c>
      <c r="G45" s="11">
        <f>SUM(C45:F45)</f>
        <v>4.7482149999999992</v>
      </c>
      <c r="H45" s="7"/>
      <c r="I45" s="7"/>
    </row>
    <row r="46" spans="2:9" x14ac:dyDescent="0.25">
      <c r="B46" s="37"/>
      <c r="C46" s="37"/>
      <c r="D46" s="37"/>
      <c r="E46" s="37"/>
      <c r="F46" s="37"/>
      <c r="G46" s="37"/>
      <c r="H46" s="37"/>
      <c r="I46" s="7"/>
    </row>
    <row r="47" spans="2:9" x14ac:dyDescent="0.25">
      <c r="B47" s="51" t="s">
        <v>40</v>
      </c>
      <c r="C47" s="51"/>
      <c r="D47" s="51"/>
      <c r="E47" s="51"/>
      <c r="F47" s="51"/>
      <c r="G47" s="51"/>
      <c r="I47" s="7"/>
    </row>
    <row r="48" spans="2:9" x14ac:dyDescent="0.25">
      <c r="B48" s="14" t="s">
        <v>41</v>
      </c>
      <c r="C48" s="27">
        <v>125642</v>
      </c>
      <c r="D48" s="27">
        <v>50090</v>
      </c>
      <c r="E48" s="27">
        <v>8787</v>
      </c>
      <c r="F48" s="27">
        <v>42667</v>
      </c>
      <c r="G48" s="27">
        <f>SUM(C48:F48)</f>
        <v>227186</v>
      </c>
      <c r="H48" s="7"/>
      <c r="I48" s="7"/>
    </row>
    <row r="49" spans="2:9" x14ac:dyDescent="0.25">
      <c r="B49" s="14" t="s">
        <v>42</v>
      </c>
      <c r="C49" s="27">
        <f>(70711998648+1413366598)/1000000</f>
        <v>72125.365246000001</v>
      </c>
      <c r="D49" s="27">
        <v>20883.788611</v>
      </c>
      <c r="E49" s="27">
        <v>8125.98164</v>
      </c>
      <c r="F49" s="27">
        <v>9836.9173539999992</v>
      </c>
      <c r="G49" s="11">
        <f>SUM(C49:F49)</f>
        <v>110972.052851</v>
      </c>
      <c r="H49" s="7"/>
      <c r="I49" s="7"/>
    </row>
    <row r="50" spans="2:9" x14ac:dyDescent="0.25">
      <c r="B50" s="37"/>
      <c r="C50" s="37"/>
      <c r="D50" s="37"/>
      <c r="E50" s="37"/>
      <c r="F50" s="37"/>
      <c r="G50" s="37"/>
      <c r="H50" s="37"/>
    </row>
    <row r="51" spans="2:9" ht="21" x14ac:dyDescent="0.35">
      <c r="B51" s="41" t="s">
        <v>43</v>
      </c>
      <c r="C51" s="42"/>
      <c r="D51" s="42"/>
      <c r="E51" s="42"/>
      <c r="F51" s="42"/>
      <c r="G51" s="43"/>
    </row>
    <row r="52" spans="2:9" x14ac:dyDescent="0.25">
      <c r="B52" s="53"/>
      <c r="C52" s="53"/>
      <c r="D52" s="53"/>
      <c r="E52" s="53"/>
      <c r="F52" s="53"/>
      <c r="G52" s="53"/>
      <c r="H52" s="53"/>
    </row>
    <row r="53" spans="2:9" x14ac:dyDescent="0.25">
      <c r="B53" s="51" t="s">
        <v>44</v>
      </c>
      <c r="C53" s="51"/>
      <c r="D53" s="51"/>
      <c r="E53" s="51"/>
      <c r="F53" s="51"/>
      <c r="G53" s="51"/>
    </row>
    <row r="54" spans="2:9" x14ac:dyDescent="0.25">
      <c r="B54" s="54" t="s">
        <v>45</v>
      </c>
      <c r="C54" s="54"/>
      <c r="D54" s="54"/>
      <c r="E54" s="54"/>
      <c r="F54" s="54"/>
      <c r="G54" s="54"/>
    </row>
    <row r="55" spans="2:9" x14ac:dyDescent="0.25">
      <c r="B55" s="14" t="s">
        <v>46</v>
      </c>
      <c r="C55" s="27">
        <v>120733</v>
      </c>
      <c r="D55" s="27">
        <v>6368</v>
      </c>
      <c r="E55" s="27">
        <v>1182</v>
      </c>
      <c r="F55" s="27">
        <v>3950</v>
      </c>
      <c r="G55" s="27">
        <f t="shared" ref="G55:G71" si="0">SUM(C55:F55)</f>
        <v>132233</v>
      </c>
    </row>
    <row r="56" spans="2:9" x14ac:dyDescent="0.25">
      <c r="B56" s="14" t="s">
        <v>47</v>
      </c>
      <c r="C56" s="27">
        <v>88115</v>
      </c>
      <c r="D56" s="27">
        <v>9979.0837840001095</v>
      </c>
      <c r="E56" s="27">
        <v>1941.0184790000001</v>
      </c>
      <c r="F56" s="27">
        <v>6585</v>
      </c>
      <c r="G56" s="27">
        <f t="shared" si="0"/>
        <v>106620.10226300011</v>
      </c>
    </row>
    <row r="57" spans="2:9" x14ac:dyDescent="0.25">
      <c r="B57" s="14" t="s">
        <v>48</v>
      </c>
      <c r="C57" s="27">
        <v>16</v>
      </c>
      <c r="D57" s="27">
        <v>38</v>
      </c>
      <c r="E57" s="27">
        <v>21.270727580372249</v>
      </c>
      <c r="F57" s="27">
        <v>22</v>
      </c>
      <c r="G57" s="27">
        <f>AVERAGE(C57:F57)</f>
        <v>24.317681895093063</v>
      </c>
    </row>
    <row r="58" spans="2:9" x14ac:dyDescent="0.25">
      <c r="B58" s="14" t="s">
        <v>49</v>
      </c>
      <c r="C58" s="27">
        <v>1195744</v>
      </c>
      <c r="D58" s="27">
        <v>178877</v>
      </c>
      <c r="E58" s="27">
        <v>50102</v>
      </c>
      <c r="F58" s="27">
        <v>92798</v>
      </c>
      <c r="G58" s="27">
        <f t="shared" si="0"/>
        <v>1517521</v>
      </c>
    </row>
    <row r="59" spans="2:9" x14ac:dyDescent="0.25">
      <c r="B59" s="14" t="s">
        <v>50</v>
      </c>
      <c r="C59" s="27">
        <v>2547652</v>
      </c>
      <c r="D59" s="27">
        <v>363496.27386800002</v>
      </c>
      <c r="E59" s="27">
        <v>117305.172286</v>
      </c>
      <c r="F59" s="27">
        <v>244350</v>
      </c>
      <c r="G59" s="11">
        <f t="shared" si="0"/>
        <v>3272803.4461540002</v>
      </c>
    </row>
    <row r="60" spans="2:9" x14ac:dyDescent="0.25">
      <c r="B60" s="54" t="s">
        <v>51</v>
      </c>
      <c r="C60" s="54"/>
      <c r="D60" s="54"/>
      <c r="E60" s="54"/>
      <c r="F60" s="54"/>
      <c r="G60" s="54"/>
    </row>
    <row r="61" spans="2:9" x14ac:dyDescent="0.25">
      <c r="B61" s="14" t="s">
        <v>46</v>
      </c>
      <c r="C61" s="20">
        <v>0</v>
      </c>
      <c r="D61" s="14">
        <v>0</v>
      </c>
      <c r="E61" s="14">
        <v>0</v>
      </c>
      <c r="F61" s="20">
        <v>0</v>
      </c>
      <c r="G61" s="27">
        <f t="shared" si="0"/>
        <v>0</v>
      </c>
    </row>
    <row r="62" spans="2:9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9" x14ac:dyDescent="0.25">
      <c r="B63" s="14" t="s">
        <v>48</v>
      </c>
      <c r="C63" s="20">
        <v>0</v>
      </c>
      <c r="D63" s="24">
        <v>0</v>
      </c>
      <c r="E63" s="24">
        <v>0</v>
      </c>
      <c r="F63" s="20">
        <v>0</v>
      </c>
      <c r="G63" s="20">
        <v>0</v>
      </c>
    </row>
    <row r="64" spans="2:9" x14ac:dyDescent="0.25">
      <c r="B64" s="14" t="s">
        <v>49</v>
      </c>
      <c r="C64" s="20">
        <v>0</v>
      </c>
      <c r="D64" s="27">
        <v>0</v>
      </c>
      <c r="E64" s="27">
        <v>0</v>
      </c>
      <c r="F64" s="20">
        <v>0</v>
      </c>
      <c r="G64" s="27">
        <f t="shared" si="0"/>
        <v>0</v>
      </c>
    </row>
    <row r="65" spans="2:8" x14ac:dyDescent="0.25">
      <c r="B65" s="14" t="s">
        <v>50</v>
      </c>
      <c r="C65" s="20">
        <v>0</v>
      </c>
      <c r="D65" s="27">
        <v>0</v>
      </c>
      <c r="E65" s="27">
        <v>0</v>
      </c>
      <c r="F65" s="20">
        <v>0</v>
      </c>
      <c r="G65" s="11">
        <f t="shared" si="0"/>
        <v>0</v>
      </c>
    </row>
    <row r="66" spans="2:8" x14ac:dyDescent="0.25">
      <c r="B66" s="54" t="s">
        <v>52</v>
      </c>
      <c r="C66" s="54"/>
      <c r="D66" s="54"/>
      <c r="E66" s="54"/>
      <c r="F66" s="54"/>
      <c r="G66" s="54"/>
    </row>
    <row r="67" spans="2:8" x14ac:dyDescent="0.25">
      <c r="B67" s="14" t="s">
        <v>46</v>
      </c>
      <c r="C67" s="27">
        <v>5151</v>
      </c>
      <c r="D67" s="27">
        <v>2102</v>
      </c>
      <c r="E67" s="27">
        <v>2126</v>
      </c>
      <c r="F67" s="27">
        <v>6274</v>
      </c>
      <c r="G67" s="27">
        <f t="shared" si="0"/>
        <v>15653</v>
      </c>
    </row>
    <row r="68" spans="2:8" x14ac:dyDescent="0.25">
      <c r="B68" s="14" t="s">
        <v>47</v>
      </c>
      <c r="C68" s="27">
        <v>4693</v>
      </c>
      <c r="D68" s="27">
        <v>2469.1437470000101</v>
      </c>
      <c r="E68" s="27">
        <v>3158.5447720000002</v>
      </c>
      <c r="F68" s="27">
        <v>5788</v>
      </c>
      <c r="G68" s="27">
        <f t="shared" si="0"/>
        <v>16108.68851900001</v>
      </c>
    </row>
    <row r="69" spans="2:8" x14ac:dyDescent="0.25">
      <c r="B69" s="14" t="s">
        <v>48</v>
      </c>
      <c r="C69" s="27">
        <v>29</v>
      </c>
      <c r="D69" s="27">
        <v>54</v>
      </c>
      <c r="E69" s="27">
        <v>52.41392285983067</v>
      </c>
      <c r="F69" s="27">
        <v>39</v>
      </c>
      <c r="G69" s="27">
        <f>AVERAGE(C69:F69)</f>
        <v>43.603480714957669</v>
      </c>
    </row>
    <row r="70" spans="2:8" x14ac:dyDescent="0.25">
      <c r="B70" s="14" t="s">
        <v>49</v>
      </c>
      <c r="C70" s="27">
        <v>145374</v>
      </c>
      <c r="D70" s="27">
        <v>100382</v>
      </c>
      <c r="E70" s="27">
        <v>99095</v>
      </c>
      <c r="F70" s="27">
        <v>295142</v>
      </c>
      <c r="G70" s="27">
        <f t="shared" si="0"/>
        <v>639993</v>
      </c>
    </row>
    <row r="71" spans="2:8" x14ac:dyDescent="0.25">
      <c r="B71" s="14" t="s">
        <v>50</v>
      </c>
      <c r="C71" s="27">
        <v>173522</v>
      </c>
      <c r="D71" s="27">
        <v>121797.79489799999</v>
      </c>
      <c r="E71" s="27">
        <v>124221.456043</v>
      </c>
      <c r="F71" s="27">
        <v>320664</v>
      </c>
      <c r="G71" s="11">
        <f t="shared" si="0"/>
        <v>740205.25094099995</v>
      </c>
    </row>
    <row r="72" spans="2:8" x14ac:dyDescent="0.25">
      <c r="B72" s="55" t="s">
        <v>53</v>
      </c>
      <c r="C72" s="56"/>
      <c r="D72" s="56"/>
      <c r="E72" s="56"/>
      <c r="F72" s="56"/>
      <c r="G72" s="57"/>
    </row>
    <row r="73" spans="2:8" x14ac:dyDescent="0.25">
      <c r="B73" s="18" t="s">
        <v>54</v>
      </c>
      <c r="C73" s="19">
        <f>+C55+C67</f>
        <v>125884</v>
      </c>
      <c r="D73" s="19">
        <f>+D67+D61+D55</f>
        <v>8470</v>
      </c>
      <c r="E73" s="19">
        <v>3308</v>
      </c>
      <c r="F73" s="19">
        <f>+F55+F67</f>
        <v>10224</v>
      </c>
      <c r="G73" s="19">
        <f>SUM(C73:F73)</f>
        <v>147886</v>
      </c>
    </row>
    <row r="74" spans="2:8" x14ac:dyDescent="0.25">
      <c r="B74" s="18" t="s">
        <v>47</v>
      </c>
      <c r="C74" s="19">
        <f>+C56+C68</f>
        <v>92808</v>
      </c>
      <c r="D74" s="19">
        <f>+D68+D62+D56</f>
        <v>12448.227531000121</v>
      </c>
      <c r="E74" s="19">
        <v>5099.5632510000005</v>
      </c>
      <c r="F74" s="19">
        <f>+F56+F68</f>
        <v>12373</v>
      </c>
      <c r="G74" s="22">
        <f>SUM(C74:F74)</f>
        <v>122728.79078200013</v>
      </c>
    </row>
    <row r="75" spans="2:8" x14ac:dyDescent="0.25">
      <c r="B75" s="18" t="s">
        <v>48</v>
      </c>
      <c r="C75" s="19">
        <v>16.484724031648199</v>
      </c>
      <c r="D75" s="19">
        <f>(+D57+D63+D69)/3</f>
        <v>30.666666666666668</v>
      </c>
      <c r="E75" s="19">
        <v>41.285973397823462</v>
      </c>
      <c r="F75" s="19">
        <f>(F57+F69)/2</f>
        <v>30.5</v>
      </c>
      <c r="G75" s="19">
        <f>AVERAGE(C75:F75)</f>
        <v>29.734341024034585</v>
      </c>
    </row>
    <row r="76" spans="2:8" x14ac:dyDescent="0.25">
      <c r="B76" s="18" t="s">
        <v>49</v>
      </c>
      <c r="C76" s="19">
        <f>+C58+C70</f>
        <v>1341118</v>
      </c>
      <c r="D76" s="19">
        <f t="shared" ref="D76" si="1">+D70+D64+D58</f>
        <v>279259</v>
      </c>
      <c r="E76" s="19">
        <v>149197</v>
      </c>
      <c r="F76" s="19">
        <f>+F58+F70</f>
        <v>387940</v>
      </c>
      <c r="G76" s="19">
        <f>SUM(C76:F76)</f>
        <v>2157514</v>
      </c>
    </row>
    <row r="77" spans="2:8" x14ac:dyDescent="0.25">
      <c r="B77" s="18" t="s">
        <v>50</v>
      </c>
      <c r="C77" s="19">
        <f>+C59+C71</f>
        <v>2721174</v>
      </c>
      <c r="D77" s="19">
        <f>+D71+D65+D59</f>
        <v>485294.06876599998</v>
      </c>
      <c r="E77" s="19">
        <v>241526.628329</v>
      </c>
      <c r="F77" s="19">
        <f>+F59+F71</f>
        <v>565014</v>
      </c>
      <c r="G77" s="22">
        <f>SUM(C77:F77)</f>
        <v>4013008.6970949997</v>
      </c>
    </row>
    <row r="78" spans="2:8" x14ac:dyDescent="0.25">
      <c r="B78" s="37"/>
      <c r="C78" s="37"/>
      <c r="D78" s="37"/>
      <c r="E78" s="37"/>
      <c r="F78" s="37"/>
      <c r="G78" s="37"/>
      <c r="H78" s="37"/>
    </row>
    <row r="79" spans="2:8" x14ac:dyDescent="0.25">
      <c r="B79" s="44" t="s">
        <v>55</v>
      </c>
      <c r="C79" s="45"/>
      <c r="D79" s="45"/>
      <c r="E79" s="45"/>
      <c r="F79" s="45"/>
      <c r="G79" s="46"/>
    </row>
    <row r="80" spans="2:8" x14ac:dyDescent="0.25">
      <c r="B80" s="47" t="s">
        <v>45</v>
      </c>
      <c r="C80" s="48"/>
      <c r="D80" s="48"/>
      <c r="E80" s="48"/>
      <c r="F80" s="48"/>
      <c r="G80" s="49"/>
    </row>
    <row r="81" spans="2:7" x14ac:dyDescent="0.25">
      <c r="B81" s="14" t="s">
        <v>46</v>
      </c>
      <c r="C81" s="24">
        <v>0</v>
      </c>
      <c r="D81" s="24">
        <v>0</v>
      </c>
      <c r="E81" s="24">
        <f t="shared" ref="E81:F83" si="2">SUM(A81:D81)</f>
        <v>0</v>
      </c>
      <c r="F81" s="24">
        <f t="shared" si="2"/>
        <v>0</v>
      </c>
      <c r="G81" s="20">
        <f>SUM(C81:F81)</f>
        <v>0</v>
      </c>
    </row>
    <row r="82" spans="2:7" x14ac:dyDescent="0.25">
      <c r="B82" s="14" t="s">
        <v>47</v>
      </c>
      <c r="C82" s="24">
        <v>0</v>
      </c>
      <c r="D82" s="24">
        <v>0</v>
      </c>
      <c r="E82" s="24">
        <f t="shared" si="2"/>
        <v>0</v>
      </c>
      <c r="F82" s="24">
        <f t="shared" si="2"/>
        <v>0</v>
      </c>
      <c r="G82" s="24">
        <f>SUM(C82:F82)</f>
        <v>0</v>
      </c>
    </row>
    <row r="83" spans="2:7" x14ac:dyDescent="0.25">
      <c r="B83" s="14" t="s">
        <v>48</v>
      </c>
      <c r="C83" s="24">
        <v>0</v>
      </c>
      <c r="D83" s="24">
        <v>0</v>
      </c>
      <c r="E83" s="24">
        <f t="shared" si="2"/>
        <v>0</v>
      </c>
      <c r="F83" s="24">
        <f t="shared" si="2"/>
        <v>0</v>
      </c>
      <c r="G83" s="24">
        <f>AVERAGE(C83:F83)</f>
        <v>0</v>
      </c>
    </row>
    <row r="84" spans="2:7" x14ac:dyDescent="0.25">
      <c r="B84" s="14" t="s">
        <v>49</v>
      </c>
      <c r="C84" s="24">
        <v>929</v>
      </c>
      <c r="D84" s="24">
        <v>104</v>
      </c>
      <c r="E84" s="24">
        <v>5</v>
      </c>
      <c r="F84" s="24">
        <v>83</v>
      </c>
      <c r="G84" s="24">
        <f>SUM(C84:F84)</f>
        <v>1121</v>
      </c>
    </row>
    <row r="85" spans="2:7" x14ac:dyDescent="0.25">
      <c r="B85" s="14" t="s">
        <v>50</v>
      </c>
      <c r="C85" s="24">
        <v>19543.869162999999</v>
      </c>
      <c r="D85" s="24">
        <v>1236</v>
      </c>
      <c r="E85" s="24">
        <v>58</v>
      </c>
      <c r="F85" s="24">
        <v>1476.163922</v>
      </c>
      <c r="G85" s="11">
        <f>SUM(C85:F85)</f>
        <v>22314.033084999999</v>
      </c>
    </row>
    <row r="86" spans="2:7" x14ac:dyDescent="0.25">
      <c r="B86" s="47" t="s">
        <v>51</v>
      </c>
      <c r="C86" s="48"/>
      <c r="D86" s="48"/>
      <c r="E86" s="48"/>
      <c r="F86" s="48"/>
      <c r="G86" s="49"/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27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27">
        <f>SUM(C88:F88)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27">
        <f>AVERAGE(C89:F89)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27">
        <f>SUM(C90:F90)</f>
        <v>0</v>
      </c>
    </row>
    <row r="91" spans="2:7" x14ac:dyDescent="0.25">
      <c r="B91" s="14" t="s">
        <v>50</v>
      </c>
      <c r="C91" s="20">
        <v>0</v>
      </c>
      <c r="D91" s="14">
        <v>0</v>
      </c>
      <c r="E91" s="20">
        <v>0</v>
      </c>
      <c r="F91" s="24">
        <v>0</v>
      </c>
      <c r="G91" s="27">
        <f>SUM(C91:F91)</f>
        <v>0</v>
      </c>
    </row>
    <row r="92" spans="2:7" x14ac:dyDescent="0.25">
      <c r="B92" s="47" t="s">
        <v>52</v>
      </c>
      <c r="C92" s="48"/>
      <c r="D92" s="48"/>
      <c r="E92" s="48"/>
      <c r="F92" s="48"/>
      <c r="G92" s="49"/>
    </row>
    <row r="93" spans="2:7" x14ac:dyDescent="0.25">
      <c r="B93" s="14" t="s">
        <v>46</v>
      </c>
      <c r="C93" s="27">
        <v>0</v>
      </c>
      <c r="D93" s="27">
        <v>0</v>
      </c>
      <c r="E93" s="27">
        <v>0</v>
      </c>
      <c r="F93" s="27">
        <v>0</v>
      </c>
      <c r="G93" s="27">
        <f>SUM(C93:F93)</f>
        <v>0</v>
      </c>
    </row>
    <row r="94" spans="2:7" x14ac:dyDescent="0.25">
      <c r="B94" s="14" t="s">
        <v>47</v>
      </c>
      <c r="C94" s="27">
        <v>0</v>
      </c>
      <c r="D94" s="27">
        <v>0</v>
      </c>
      <c r="E94" s="27">
        <v>0</v>
      </c>
      <c r="F94" s="27">
        <v>0</v>
      </c>
      <c r="G94" s="27">
        <f>SUM(C94:F94)</f>
        <v>0</v>
      </c>
    </row>
    <row r="95" spans="2:7" x14ac:dyDescent="0.25">
      <c r="B95" s="14" t="s">
        <v>48</v>
      </c>
      <c r="C95" s="27">
        <v>0</v>
      </c>
      <c r="D95" s="27">
        <v>0</v>
      </c>
      <c r="E95" s="27">
        <v>0</v>
      </c>
      <c r="F95" s="27">
        <v>0</v>
      </c>
      <c r="G95" s="27">
        <f>AVERAGE(C95:F95)</f>
        <v>0</v>
      </c>
    </row>
    <row r="96" spans="2:7" x14ac:dyDescent="0.25">
      <c r="B96" s="14" t="s">
        <v>49</v>
      </c>
      <c r="C96" s="27">
        <v>9</v>
      </c>
      <c r="D96" s="27">
        <v>0</v>
      </c>
      <c r="E96" s="27">
        <v>0</v>
      </c>
      <c r="F96" s="27">
        <v>6</v>
      </c>
      <c r="G96" s="27">
        <f>SUM(C96:F96)</f>
        <v>15</v>
      </c>
    </row>
    <row r="97" spans="2:8" x14ac:dyDescent="0.25">
      <c r="B97" s="14" t="s">
        <v>50</v>
      </c>
      <c r="C97" s="27">
        <v>143.84502499999999</v>
      </c>
      <c r="D97" s="27">
        <v>0</v>
      </c>
      <c r="E97" s="27">
        <v>0</v>
      </c>
      <c r="F97" s="27">
        <v>69.240302999999997</v>
      </c>
      <c r="G97" s="11">
        <f>SUM(C97:F97)</f>
        <v>213.085328</v>
      </c>
    </row>
    <row r="98" spans="2:8" x14ac:dyDescent="0.25">
      <c r="B98" s="55" t="s">
        <v>56</v>
      </c>
      <c r="C98" s="56"/>
      <c r="D98" s="56"/>
      <c r="E98" s="56"/>
      <c r="F98" s="56"/>
      <c r="G98" s="57"/>
    </row>
    <row r="99" spans="2:8" x14ac:dyDescent="0.25">
      <c r="B99" s="18" t="s">
        <v>46</v>
      </c>
      <c r="C99" s="19">
        <v>0</v>
      </c>
      <c r="D99" s="19">
        <v>0</v>
      </c>
      <c r="E99" s="19">
        <v>0</v>
      </c>
      <c r="F99" s="19">
        <v>0</v>
      </c>
      <c r="G99" s="19">
        <f>SUM(C99:F99)</f>
        <v>0</v>
      </c>
    </row>
    <row r="100" spans="2:8" x14ac:dyDescent="0.25">
      <c r="B100" s="18" t="s">
        <v>47</v>
      </c>
      <c r="C100" s="19">
        <v>0</v>
      </c>
      <c r="D100" s="19">
        <v>0</v>
      </c>
      <c r="E100" s="19">
        <v>0</v>
      </c>
      <c r="F100" s="19">
        <v>0</v>
      </c>
      <c r="G100" s="22">
        <f>SUM(C100:F100)</f>
        <v>0</v>
      </c>
    </row>
    <row r="101" spans="2:8" x14ac:dyDescent="0.25">
      <c r="B101" s="18" t="s">
        <v>48</v>
      </c>
      <c r="C101" s="19">
        <v>0</v>
      </c>
      <c r="D101" s="19">
        <v>0</v>
      </c>
      <c r="E101" s="19">
        <v>0</v>
      </c>
      <c r="F101" s="19">
        <v>0</v>
      </c>
      <c r="G101" s="19">
        <f>AVERAGE(C101:F101)</f>
        <v>0</v>
      </c>
    </row>
    <row r="102" spans="2:8" x14ac:dyDescent="0.25">
      <c r="B102" s="18" t="s">
        <v>49</v>
      </c>
      <c r="C102" s="19">
        <f>+C96+C84</f>
        <v>938</v>
      </c>
      <c r="D102" s="19">
        <f t="shared" ref="D102:D103" si="3">+D96+D90+D84</f>
        <v>104</v>
      </c>
      <c r="E102" s="19">
        <f>+E84</f>
        <v>5</v>
      </c>
      <c r="F102" s="19">
        <f>+F96+F84</f>
        <v>89</v>
      </c>
      <c r="G102" s="19">
        <f>SUM(C102:F102)</f>
        <v>1136</v>
      </c>
    </row>
    <row r="103" spans="2:8" x14ac:dyDescent="0.25">
      <c r="B103" s="18" t="s">
        <v>50</v>
      </c>
      <c r="C103" s="19">
        <f>+C97+C85</f>
        <v>19687.714187999998</v>
      </c>
      <c r="D103" s="19">
        <f t="shared" si="3"/>
        <v>1236</v>
      </c>
      <c r="E103" s="19">
        <f>+E85</f>
        <v>58</v>
      </c>
      <c r="F103" s="19">
        <f>+F85+F97</f>
        <v>1545.404225</v>
      </c>
      <c r="G103" s="22">
        <f>SUM(C103:F103)</f>
        <v>22527.118412999997</v>
      </c>
    </row>
    <row r="104" spans="2:8" x14ac:dyDescent="0.25">
      <c r="B104" s="37"/>
      <c r="C104" s="37"/>
      <c r="D104" s="37"/>
      <c r="E104" s="37"/>
      <c r="F104" s="37"/>
      <c r="G104" s="37"/>
      <c r="H104" s="37"/>
    </row>
    <row r="105" spans="2:8" x14ac:dyDescent="0.25">
      <c r="B105" s="51" t="s">
        <v>57</v>
      </c>
      <c r="C105" s="51"/>
      <c r="D105" s="51"/>
      <c r="E105" s="51"/>
      <c r="F105" s="51"/>
      <c r="G105" s="51"/>
    </row>
    <row r="106" spans="2:8" x14ac:dyDescent="0.25">
      <c r="B106" s="54" t="s">
        <v>58</v>
      </c>
      <c r="C106" s="54"/>
      <c r="D106" s="54"/>
      <c r="E106" s="54"/>
      <c r="F106" s="54"/>
      <c r="G106" s="54"/>
    </row>
    <row r="107" spans="2:8" x14ac:dyDescent="0.25">
      <c r="B107" s="14" t="s">
        <v>59</v>
      </c>
      <c r="C107" s="13">
        <v>2.4331311897142722</v>
      </c>
      <c r="D107" s="13">
        <v>2.5499999999999998</v>
      </c>
      <c r="E107" s="13">
        <v>2.7116632860040566</v>
      </c>
      <c r="F107" s="13">
        <v>2.54</v>
      </c>
      <c r="G107" s="13">
        <f>AVERAGE(C107:F107)</f>
        <v>2.5586986189295819</v>
      </c>
    </row>
    <row r="108" spans="2:8" x14ac:dyDescent="0.25">
      <c r="B108" s="14" t="s">
        <v>60</v>
      </c>
      <c r="C108" s="13">
        <v>2.2901570442305155</v>
      </c>
      <c r="D108" s="13">
        <v>2.56</v>
      </c>
      <c r="E108" s="13">
        <v>2.5336051502145924</v>
      </c>
      <c r="F108" s="13">
        <v>2.54</v>
      </c>
      <c r="G108" s="13">
        <f>AVERAGE(C108:F108)</f>
        <v>2.4809405486112768</v>
      </c>
    </row>
    <row r="109" spans="2:8" x14ac:dyDescent="0.25">
      <c r="B109" s="14" t="s">
        <v>61</v>
      </c>
      <c r="C109" s="13">
        <v>2.1397899634101201</v>
      </c>
      <c r="D109" s="13">
        <v>2.56</v>
      </c>
      <c r="E109" s="13">
        <v>2.5093950177935942</v>
      </c>
      <c r="F109" s="13">
        <v>2.54</v>
      </c>
      <c r="G109" s="13">
        <f>AVERAGE(C109:F109)</f>
        <v>2.4372962453009288</v>
      </c>
    </row>
    <row r="110" spans="2:8" x14ac:dyDescent="0.25">
      <c r="B110" s="54" t="s">
        <v>62</v>
      </c>
      <c r="C110" s="54"/>
      <c r="D110" s="54"/>
      <c r="E110" s="54"/>
      <c r="F110" s="54"/>
      <c r="G110" s="54"/>
    </row>
    <row r="111" spans="2:8" x14ac:dyDescent="0.25">
      <c r="B111" s="14" t="s">
        <v>59</v>
      </c>
      <c r="C111" s="13">
        <v>1.6078260869565213</v>
      </c>
      <c r="D111" s="13">
        <v>1.95</v>
      </c>
      <c r="E111" s="13">
        <v>1.56</v>
      </c>
      <c r="F111" s="13">
        <v>2.0699999999999998</v>
      </c>
      <c r="G111" s="13">
        <f>AVERAGE(C111:F111)</f>
        <v>1.7969565217391303</v>
      </c>
    </row>
    <row r="112" spans="2:8" x14ac:dyDescent="0.25">
      <c r="B112" s="14" t="s">
        <v>60</v>
      </c>
      <c r="C112" s="13">
        <v>1.6091455696202579</v>
      </c>
      <c r="D112" s="13">
        <v>2.09</v>
      </c>
      <c r="E112" s="13">
        <v>1.89</v>
      </c>
      <c r="F112" s="13">
        <v>2.0699999999999998</v>
      </c>
      <c r="G112" s="13">
        <f>AVERAGE(C112:F112)</f>
        <v>1.9147863924050643</v>
      </c>
    </row>
    <row r="113" spans="2:9" x14ac:dyDescent="0.25">
      <c r="B113" s="14" t="s">
        <v>61</v>
      </c>
      <c r="C113" s="13">
        <v>1.8783278688524794</v>
      </c>
      <c r="D113" s="13">
        <v>2.09</v>
      </c>
      <c r="E113" s="13">
        <v>1.99</v>
      </c>
      <c r="F113" s="13">
        <v>2.0699999999999998</v>
      </c>
      <c r="G113" s="13">
        <f>AVERAGE(C113:F113)</f>
        <v>2.0070819672131197</v>
      </c>
    </row>
    <row r="114" spans="2:9" x14ac:dyDescent="0.25">
      <c r="B114" s="37"/>
      <c r="C114" s="37"/>
      <c r="D114" s="37"/>
      <c r="E114" s="37"/>
      <c r="F114" s="37"/>
      <c r="G114" s="37"/>
      <c r="H114" s="37"/>
      <c r="I114" s="37"/>
    </row>
    <row r="115" spans="2:9" x14ac:dyDescent="0.25">
      <c r="B115" s="54" t="s">
        <v>63</v>
      </c>
      <c r="C115" s="54"/>
      <c r="D115" s="54"/>
      <c r="E115" s="54"/>
      <c r="F115" s="54"/>
      <c r="G115" s="54"/>
    </row>
    <row r="116" spans="2:9" x14ac:dyDescent="0.25">
      <c r="B116" s="14" t="s">
        <v>59</v>
      </c>
      <c r="C116" s="13">
        <v>1.5471647509579154</v>
      </c>
      <c r="D116" s="13">
        <v>1.79</v>
      </c>
      <c r="E116" s="13">
        <v>1.85</v>
      </c>
      <c r="F116" s="13">
        <v>1.79</v>
      </c>
      <c r="G116" s="13">
        <f>AVERAGE(C116:F116)</f>
        <v>1.7442911877394789</v>
      </c>
    </row>
    <row r="117" spans="2:9" x14ac:dyDescent="0.25">
      <c r="B117" s="14" t="s">
        <v>60</v>
      </c>
      <c r="C117" s="13">
        <v>1.7548302872063073</v>
      </c>
      <c r="D117" s="13">
        <v>1.79</v>
      </c>
      <c r="E117" s="13">
        <v>1.85</v>
      </c>
      <c r="F117" s="13">
        <v>1.79</v>
      </c>
      <c r="G117" s="13">
        <f>AVERAGE(C117:F117)</f>
        <v>1.7962075718015769</v>
      </c>
    </row>
    <row r="118" spans="2:9" x14ac:dyDescent="0.25">
      <c r="B118" s="14" t="s">
        <v>61</v>
      </c>
      <c r="C118" s="13">
        <v>1.64035034602076</v>
      </c>
      <c r="D118" s="13">
        <v>1.74</v>
      </c>
      <c r="E118" s="13">
        <v>1.8534481216457959</v>
      </c>
      <c r="F118" s="13">
        <v>1.74</v>
      </c>
      <c r="G118" s="13">
        <f>AVERAGE(C118:F118)</f>
        <v>1.7434496169166391</v>
      </c>
    </row>
    <row r="119" spans="2:9" x14ac:dyDescent="0.25">
      <c r="B119" s="47" t="s">
        <v>64</v>
      </c>
      <c r="C119" s="48"/>
      <c r="D119" s="48"/>
      <c r="E119" s="48"/>
      <c r="F119" s="48"/>
      <c r="G119" s="49"/>
    </row>
    <row r="120" spans="2:9" x14ac:dyDescent="0.25">
      <c r="B120" s="14" t="s">
        <v>59</v>
      </c>
      <c r="C120" s="13">
        <v>1.27</v>
      </c>
      <c r="D120" s="13">
        <v>1.43</v>
      </c>
      <c r="E120" s="13">
        <v>0</v>
      </c>
      <c r="F120" s="13">
        <v>1.43</v>
      </c>
      <c r="G120" s="13">
        <f>AVERAGE(C120:F120)</f>
        <v>1.0325</v>
      </c>
    </row>
    <row r="121" spans="2:9" x14ac:dyDescent="0.25">
      <c r="B121" s="14" t="s">
        <v>60</v>
      </c>
      <c r="C121" s="13">
        <v>0</v>
      </c>
      <c r="D121" s="13">
        <v>1.43</v>
      </c>
      <c r="E121" s="13">
        <v>0</v>
      </c>
      <c r="F121" s="13">
        <v>1.43</v>
      </c>
      <c r="G121" s="13">
        <f>AVERAGE(C121:F121)</f>
        <v>0.71499999999999997</v>
      </c>
    </row>
    <row r="122" spans="2:9" x14ac:dyDescent="0.25">
      <c r="B122" s="14" t="s">
        <v>61</v>
      </c>
      <c r="C122" s="13">
        <v>1.43</v>
      </c>
      <c r="D122" s="13">
        <v>1.43</v>
      </c>
      <c r="E122" s="13">
        <v>1.55</v>
      </c>
      <c r="F122" s="13">
        <v>1.43</v>
      </c>
      <c r="G122" s="13">
        <f>AVERAGE(C122:F122)</f>
        <v>1.46</v>
      </c>
    </row>
    <row r="123" spans="2:9" x14ac:dyDescent="0.25">
      <c r="B123" s="37"/>
      <c r="C123" s="37"/>
      <c r="D123" s="37"/>
      <c r="E123" s="37"/>
      <c r="F123" s="37"/>
      <c r="G123" s="37"/>
      <c r="H123" s="37"/>
    </row>
    <row r="124" spans="2:9" x14ac:dyDescent="0.25">
      <c r="B124" s="44" t="s">
        <v>65</v>
      </c>
      <c r="C124" s="45"/>
      <c r="D124" s="45"/>
      <c r="E124" s="45"/>
      <c r="F124" s="45"/>
      <c r="G124" s="46"/>
    </row>
    <row r="125" spans="2:9" x14ac:dyDescent="0.25">
      <c r="B125" s="2" t="s">
        <v>66</v>
      </c>
      <c r="C125" s="13">
        <v>0</v>
      </c>
      <c r="D125" s="26">
        <v>0</v>
      </c>
      <c r="E125" s="20">
        <v>0</v>
      </c>
      <c r="F125" s="20">
        <v>0</v>
      </c>
      <c r="G125" s="11">
        <f>AVERAGE(C125:F125)</f>
        <v>0</v>
      </c>
    </row>
    <row r="126" spans="2:9" x14ac:dyDescent="0.25">
      <c r="B126" s="44" t="s">
        <v>67</v>
      </c>
      <c r="C126" s="45"/>
      <c r="D126" s="45"/>
      <c r="E126" s="45"/>
      <c r="F126" s="45"/>
      <c r="G126" s="46"/>
    </row>
    <row r="127" spans="2:9" x14ac:dyDescent="0.25">
      <c r="B127" s="3" t="s">
        <v>68</v>
      </c>
      <c r="C127" s="11">
        <v>2.0129999999999999E-2</v>
      </c>
      <c r="D127" s="11">
        <v>2.1405970000000001</v>
      </c>
      <c r="E127" s="11">
        <v>2.1129291897906688</v>
      </c>
      <c r="F127" s="11">
        <v>0</v>
      </c>
      <c r="G127" s="11">
        <f>AVERAGE(C127:E127)</f>
        <v>1.4245520632635564</v>
      </c>
    </row>
    <row r="128" spans="2:9" x14ac:dyDescent="0.25">
      <c r="B128" s="58"/>
      <c r="C128" s="58"/>
      <c r="D128" s="58"/>
      <c r="E128" s="58"/>
      <c r="F128" s="58"/>
      <c r="G128" s="58"/>
      <c r="H128" s="58"/>
    </row>
    <row r="129" spans="2:9" x14ac:dyDescent="0.25">
      <c r="B129" s="51" t="s">
        <v>69</v>
      </c>
      <c r="C129" s="51"/>
      <c r="D129" s="51"/>
      <c r="E129" s="51"/>
      <c r="F129" s="51"/>
      <c r="G129" s="51"/>
    </row>
    <row r="130" spans="2:9" x14ac:dyDescent="0.25">
      <c r="B130" s="14" t="s">
        <v>70</v>
      </c>
      <c r="C130" s="27">
        <v>259837</v>
      </c>
      <c r="D130" s="27">
        <v>3357</v>
      </c>
      <c r="E130" s="27">
        <v>6074</v>
      </c>
      <c r="F130" s="27">
        <v>750</v>
      </c>
      <c r="G130" s="27">
        <f>SUM(C130:F130)</f>
        <v>270018</v>
      </c>
    </row>
    <row r="131" spans="2:9" x14ac:dyDescent="0.25">
      <c r="B131" s="14" t="s">
        <v>71</v>
      </c>
      <c r="C131" s="27">
        <v>162623.62593499999</v>
      </c>
      <c r="D131" s="27">
        <v>3661</v>
      </c>
      <c r="E131" s="27">
        <v>738106</v>
      </c>
      <c r="F131" s="27">
        <v>809.19861800000001</v>
      </c>
      <c r="G131" s="11">
        <f>SUM(C131:F131)</f>
        <v>905199.82455300004</v>
      </c>
    </row>
    <row r="132" spans="2:9" x14ac:dyDescent="0.25">
      <c r="B132" s="37"/>
      <c r="C132" s="37"/>
      <c r="D132" s="37"/>
      <c r="E132" s="37"/>
      <c r="F132" s="37"/>
      <c r="G132" s="37"/>
      <c r="H132" s="37"/>
    </row>
    <row r="133" spans="2:9" x14ac:dyDescent="0.25">
      <c r="B133" s="51" t="s">
        <v>72</v>
      </c>
      <c r="C133" s="51"/>
      <c r="D133" s="51"/>
      <c r="E133" s="51"/>
      <c r="F133" s="51"/>
      <c r="G133" s="51"/>
    </row>
    <row r="134" spans="2:9" x14ac:dyDescent="0.25">
      <c r="B134" s="14" t="s">
        <v>73</v>
      </c>
      <c r="C134" s="27">
        <v>397073</v>
      </c>
      <c r="D134" s="27">
        <v>436074</v>
      </c>
      <c r="E134" s="27">
        <v>172018</v>
      </c>
      <c r="F134" s="27">
        <v>396218</v>
      </c>
      <c r="G134" s="27">
        <f>SUM(C134:F134)</f>
        <v>1401383</v>
      </c>
    </row>
    <row r="135" spans="2:9" x14ac:dyDescent="0.25">
      <c r="B135" s="37"/>
      <c r="C135" s="37"/>
      <c r="D135" s="37"/>
      <c r="E135" s="37"/>
      <c r="F135" s="37"/>
      <c r="G135" s="37"/>
      <c r="H135" s="37"/>
    </row>
    <row r="136" spans="2:9" ht="21" x14ac:dyDescent="0.35">
      <c r="B136" s="59" t="s">
        <v>74</v>
      </c>
      <c r="C136" s="59"/>
      <c r="D136" s="59"/>
      <c r="E136" s="59"/>
      <c r="F136" s="59"/>
      <c r="G136" s="59"/>
    </row>
    <row r="137" spans="2:9" x14ac:dyDescent="0.25">
      <c r="B137" s="51" t="s">
        <v>75</v>
      </c>
      <c r="C137" s="51"/>
      <c r="D137" s="51"/>
      <c r="E137" s="51"/>
      <c r="F137" s="51"/>
      <c r="G137" s="51"/>
    </row>
    <row r="138" spans="2:9" x14ac:dyDescent="0.25">
      <c r="B138" s="14" t="s">
        <v>76</v>
      </c>
      <c r="C138" s="27">
        <v>0</v>
      </c>
      <c r="D138" s="27">
        <v>0</v>
      </c>
      <c r="E138" s="27">
        <v>0</v>
      </c>
      <c r="F138" s="27">
        <v>14092</v>
      </c>
      <c r="G138" s="27">
        <f>SUM(C138:F138)</f>
        <v>14092</v>
      </c>
      <c r="H138" s="7"/>
      <c r="I138" s="7"/>
    </row>
    <row r="139" spans="2:9" x14ac:dyDescent="0.25">
      <c r="B139" s="14" t="s">
        <v>77</v>
      </c>
      <c r="C139" s="27">
        <v>0</v>
      </c>
      <c r="D139" s="27">
        <v>0</v>
      </c>
      <c r="E139" s="27">
        <v>0</v>
      </c>
      <c r="F139" s="27">
        <v>198</v>
      </c>
      <c r="G139" s="27">
        <f>SUM(C139:F139)</f>
        <v>198</v>
      </c>
      <c r="H139" s="7"/>
      <c r="I139" s="7"/>
    </row>
    <row r="140" spans="2:9" x14ac:dyDescent="0.25">
      <c r="B140" s="37"/>
      <c r="C140" s="37"/>
      <c r="D140" s="37"/>
      <c r="E140" s="37"/>
      <c r="F140" s="37"/>
      <c r="G140" s="37"/>
      <c r="H140" s="37"/>
      <c r="I140" s="7"/>
    </row>
    <row r="141" spans="2:9" x14ac:dyDescent="0.25">
      <c r="B141" s="37"/>
      <c r="C141" s="37"/>
      <c r="D141" s="37"/>
      <c r="E141" s="37"/>
      <c r="F141" s="37"/>
      <c r="G141" s="37"/>
      <c r="H141" s="37"/>
    </row>
    <row r="142" spans="2:9" ht="21" x14ac:dyDescent="0.35">
      <c r="B142" s="41" t="s">
        <v>78</v>
      </c>
      <c r="C142" s="42"/>
      <c r="D142" s="42"/>
      <c r="E142" s="42"/>
      <c r="F142" s="42"/>
      <c r="G142" s="43"/>
    </row>
    <row r="143" spans="2:9" x14ac:dyDescent="0.25">
      <c r="B143" s="44" t="s">
        <v>79</v>
      </c>
      <c r="C143" s="45"/>
      <c r="D143" s="45"/>
      <c r="E143" s="45"/>
      <c r="F143" s="45"/>
      <c r="G143" s="46"/>
    </row>
    <row r="144" spans="2:9" x14ac:dyDescent="0.25">
      <c r="B144" s="37"/>
      <c r="C144" s="37"/>
      <c r="D144" s="37"/>
      <c r="E144" s="37"/>
      <c r="F144" s="37"/>
      <c r="G144" s="37"/>
      <c r="H144" s="37"/>
    </row>
    <row r="145" spans="2:8" x14ac:dyDescent="0.25">
      <c r="B145" s="54" t="s">
        <v>80</v>
      </c>
      <c r="C145" s="54"/>
      <c r="D145" s="54"/>
      <c r="E145" s="54"/>
      <c r="F145" s="54"/>
      <c r="G145" s="54"/>
    </row>
    <row r="146" spans="2:8" x14ac:dyDescent="0.25">
      <c r="B146" s="14" t="s">
        <v>81</v>
      </c>
      <c r="C146" s="27">
        <v>0</v>
      </c>
      <c r="D146" s="27">
        <v>6729</v>
      </c>
      <c r="E146" s="27">
        <v>0</v>
      </c>
      <c r="F146" s="24">
        <v>2168</v>
      </c>
      <c r="G146" s="27">
        <f>SUM(C146:F146)</f>
        <v>8897</v>
      </c>
    </row>
    <row r="147" spans="2:8" x14ac:dyDescent="0.25">
      <c r="B147" s="14" t="s">
        <v>82</v>
      </c>
      <c r="C147" s="27">
        <v>0</v>
      </c>
      <c r="D147" s="27">
        <v>148.36600000000001</v>
      </c>
      <c r="E147" s="27">
        <v>0</v>
      </c>
      <c r="F147" s="24">
        <v>25.222000000000001</v>
      </c>
      <c r="G147" s="11">
        <f>SUM(C147:F147)</f>
        <v>173.58800000000002</v>
      </c>
    </row>
    <row r="148" spans="2:8" x14ac:dyDescent="0.25">
      <c r="B148" s="37"/>
      <c r="C148" s="37"/>
      <c r="D148" s="37"/>
      <c r="E148" s="37"/>
      <c r="F148" s="37"/>
      <c r="G148" s="37"/>
      <c r="H148" s="37"/>
    </row>
    <row r="149" spans="2:8" x14ac:dyDescent="0.25">
      <c r="B149" s="54" t="s">
        <v>83</v>
      </c>
      <c r="C149" s="54"/>
      <c r="D149" s="54"/>
      <c r="E149" s="54"/>
      <c r="F149" s="54"/>
      <c r="G149" s="54"/>
    </row>
    <row r="150" spans="2:8" x14ac:dyDescent="0.25">
      <c r="B150" s="14" t="s">
        <v>84</v>
      </c>
      <c r="C150" s="27">
        <v>0</v>
      </c>
      <c r="D150" s="29">
        <v>0</v>
      </c>
      <c r="E150" s="27">
        <v>0</v>
      </c>
      <c r="F150" s="27">
        <v>0</v>
      </c>
      <c r="G150" s="27">
        <f>SUM(C150:F150)</f>
        <v>0</v>
      </c>
      <c r="H150"/>
    </row>
    <row r="151" spans="2:8" x14ac:dyDescent="0.25">
      <c r="B151" s="14" t="s">
        <v>85</v>
      </c>
      <c r="C151" s="27">
        <v>0</v>
      </c>
      <c r="D151" s="29">
        <v>2.1999999999999999E-2</v>
      </c>
      <c r="E151" s="27">
        <v>0</v>
      </c>
      <c r="F151" s="27">
        <v>0</v>
      </c>
      <c r="G151" s="11">
        <f>SUM(C151:F151)</f>
        <v>2.1999999999999999E-2</v>
      </c>
      <c r="H151"/>
    </row>
    <row r="152" spans="2:8" x14ac:dyDescent="0.25">
      <c r="B152" s="37"/>
      <c r="C152" s="37"/>
      <c r="D152" s="37"/>
      <c r="E152" s="37"/>
      <c r="F152" s="37"/>
      <c r="G152" s="37"/>
      <c r="H152" s="37"/>
    </row>
    <row r="153" spans="2:8" x14ac:dyDescent="0.25">
      <c r="B153" s="54" t="s">
        <v>86</v>
      </c>
      <c r="C153" s="54"/>
      <c r="D153" s="54"/>
      <c r="E153" s="54"/>
      <c r="F153" s="54"/>
      <c r="G153" s="54"/>
    </row>
    <row r="154" spans="2:8" x14ac:dyDescent="0.25">
      <c r="B154" s="14" t="s">
        <v>87</v>
      </c>
      <c r="C154" s="14">
        <v>0</v>
      </c>
      <c r="D154" s="27">
        <v>76</v>
      </c>
      <c r="E154" s="27">
        <v>0</v>
      </c>
      <c r="F154" s="27">
        <v>0</v>
      </c>
      <c r="G154" s="27">
        <f>SUM(C154:F154)</f>
        <v>76</v>
      </c>
      <c r="H154"/>
    </row>
    <row r="155" spans="2:8" x14ac:dyDescent="0.25">
      <c r="B155" s="14" t="s">
        <v>88</v>
      </c>
      <c r="C155" s="11">
        <v>0</v>
      </c>
      <c r="D155" s="27">
        <v>2.2000000000000002</v>
      </c>
      <c r="E155" s="27">
        <v>0.09</v>
      </c>
      <c r="F155" s="27">
        <v>0</v>
      </c>
      <c r="G155" s="11">
        <f>SUM(C155:F155)</f>
        <v>2.29</v>
      </c>
      <c r="H155"/>
    </row>
    <row r="156" spans="2:8" x14ac:dyDescent="0.25">
      <c r="B156" s="37"/>
      <c r="C156" s="37"/>
      <c r="D156" s="37"/>
      <c r="E156" s="37"/>
      <c r="F156" s="37"/>
      <c r="G156" s="37"/>
      <c r="H156" s="37"/>
    </row>
    <row r="157" spans="2:8" x14ac:dyDescent="0.25">
      <c r="B157" s="47" t="s">
        <v>89</v>
      </c>
      <c r="C157" s="48"/>
      <c r="D157" s="48"/>
      <c r="E157" s="48"/>
      <c r="F157" s="48"/>
      <c r="G157" s="49"/>
    </row>
    <row r="158" spans="2:8" x14ac:dyDescent="0.25">
      <c r="B158" s="18" t="s">
        <v>90</v>
      </c>
      <c r="C158" s="19">
        <v>0</v>
      </c>
      <c r="D158" s="19">
        <f>D146+D150+D154</f>
        <v>6805</v>
      </c>
      <c r="E158" s="19">
        <v>0</v>
      </c>
      <c r="F158" s="19">
        <f t="shared" ref="F158:F159" si="4">+F146+F154</f>
        <v>2168</v>
      </c>
      <c r="G158" s="19">
        <f>SUM(C158:F158)</f>
        <v>8973</v>
      </c>
    </row>
    <row r="159" spans="2:8" x14ac:dyDescent="0.25">
      <c r="B159" s="18" t="s">
        <v>91</v>
      </c>
      <c r="C159" s="19">
        <v>0</v>
      </c>
      <c r="D159" s="19">
        <f>D147+D151+D155</f>
        <v>150.58799999999999</v>
      </c>
      <c r="E159" s="19">
        <v>0.09</v>
      </c>
      <c r="F159" s="19">
        <f t="shared" si="4"/>
        <v>25.222000000000001</v>
      </c>
      <c r="G159" s="22">
        <f>SUM(C159:F159)</f>
        <v>175.9</v>
      </c>
    </row>
    <row r="160" spans="2:8" x14ac:dyDescent="0.25">
      <c r="B160" s="37"/>
      <c r="C160" s="37"/>
      <c r="D160" s="37"/>
      <c r="E160" s="37"/>
      <c r="F160" s="37"/>
      <c r="G160" s="37"/>
      <c r="H160" s="37"/>
    </row>
    <row r="161" spans="2:8" x14ac:dyDescent="0.25">
      <c r="B161" s="51" t="s">
        <v>92</v>
      </c>
      <c r="C161" s="51"/>
      <c r="D161" s="51"/>
      <c r="E161" s="51"/>
      <c r="F161" s="51"/>
      <c r="G161" s="51"/>
    </row>
    <row r="162" spans="2:8" x14ac:dyDescent="0.25">
      <c r="B162" s="14" t="s">
        <v>87</v>
      </c>
      <c r="C162" s="27">
        <v>3210</v>
      </c>
      <c r="D162" s="27">
        <v>11198</v>
      </c>
      <c r="E162" s="27">
        <v>7506</v>
      </c>
      <c r="F162" s="27">
        <v>27366</v>
      </c>
      <c r="G162" s="27">
        <f>SUM(C162:F162)</f>
        <v>49280</v>
      </c>
    </row>
    <row r="163" spans="2:8" x14ac:dyDescent="0.25">
      <c r="B163" s="14" t="s">
        <v>88</v>
      </c>
      <c r="C163" s="27">
        <f>74445466/1000000</f>
        <v>74.445465999999996</v>
      </c>
      <c r="D163" s="27">
        <v>52.002567999999997</v>
      </c>
      <c r="E163" s="27">
        <v>142.220854</v>
      </c>
      <c r="F163" s="27">
        <v>157.327629</v>
      </c>
      <c r="G163" s="11">
        <f>SUM(C163:F163)</f>
        <v>425.99651699999998</v>
      </c>
    </row>
    <row r="164" spans="2:8" x14ac:dyDescent="0.25">
      <c r="B164" s="37"/>
      <c r="C164" s="37"/>
      <c r="D164" s="37"/>
      <c r="E164" s="37"/>
      <c r="F164" s="37"/>
      <c r="G164" s="37"/>
    </row>
    <row r="165" spans="2:8" x14ac:dyDescent="0.25">
      <c r="B165" s="44" t="s">
        <v>93</v>
      </c>
      <c r="C165" s="45"/>
      <c r="D165" s="45"/>
      <c r="E165" s="45"/>
      <c r="F165" s="45"/>
      <c r="G165" s="46"/>
    </row>
    <row r="166" spans="2:8" x14ac:dyDescent="0.25">
      <c r="B166" s="47" t="s">
        <v>94</v>
      </c>
      <c r="C166" s="48"/>
      <c r="D166" s="48"/>
      <c r="E166" s="48"/>
      <c r="F166" s="48"/>
      <c r="G166" s="49"/>
    </row>
    <row r="167" spans="2:8" x14ac:dyDescent="0.25">
      <c r="B167" s="14" t="s">
        <v>95</v>
      </c>
      <c r="C167" s="27">
        <v>1251</v>
      </c>
      <c r="D167" s="27">
        <v>2959</v>
      </c>
      <c r="E167" s="27">
        <v>92</v>
      </c>
      <c r="F167" s="27">
        <v>661</v>
      </c>
      <c r="G167" s="27">
        <f>SUM(C167:F167)</f>
        <v>4963</v>
      </c>
    </row>
    <row r="168" spans="2:8" x14ac:dyDescent="0.25">
      <c r="B168" s="14" t="s">
        <v>96</v>
      </c>
      <c r="C168" s="27">
        <f>43785000/1000000</f>
        <v>43.784999999999997</v>
      </c>
      <c r="D168" s="27">
        <v>64.046999999999997</v>
      </c>
      <c r="E168" s="27">
        <v>4.9000000000000004</v>
      </c>
      <c r="F168" s="27">
        <v>23.8</v>
      </c>
      <c r="G168" s="11">
        <f>SUM(C168:F168)</f>
        <v>136.53200000000001</v>
      </c>
    </row>
    <row r="169" spans="2:8" x14ac:dyDescent="0.25">
      <c r="B169" s="37"/>
      <c r="C169" s="37"/>
      <c r="D169" s="37"/>
      <c r="E169" s="37"/>
      <c r="F169" s="37"/>
      <c r="G169" s="37"/>
    </row>
    <row r="170" spans="2:8" x14ac:dyDescent="0.25">
      <c r="B170" s="47" t="s">
        <v>97</v>
      </c>
      <c r="C170" s="48"/>
      <c r="D170" s="48"/>
      <c r="E170" s="48"/>
      <c r="F170" s="48"/>
      <c r="G170" s="49"/>
    </row>
    <row r="171" spans="2:8" x14ac:dyDescent="0.25">
      <c r="B171" s="14" t="s">
        <v>98</v>
      </c>
      <c r="C171" s="27">
        <v>1748</v>
      </c>
      <c r="D171" s="27">
        <v>260</v>
      </c>
      <c r="E171" s="27">
        <v>75</v>
      </c>
      <c r="F171" s="27">
        <v>413</v>
      </c>
      <c r="G171" s="27">
        <f>SUM(C171:F171)</f>
        <v>2496</v>
      </c>
    </row>
    <row r="172" spans="2:8" x14ac:dyDescent="0.25">
      <c r="B172" s="14" t="s">
        <v>96</v>
      </c>
      <c r="C172" s="27">
        <f>61180000/1000000</f>
        <v>61.18</v>
      </c>
      <c r="D172" s="27">
        <v>5.46</v>
      </c>
      <c r="E172" s="27">
        <v>1.9</v>
      </c>
      <c r="F172" s="27">
        <v>10.316000000000001</v>
      </c>
      <c r="G172" s="11">
        <f>SUM(C172:F172)</f>
        <v>78.856000000000009</v>
      </c>
    </row>
    <row r="173" spans="2:8" x14ac:dyDescent="0.25">
      <c r="B173" s="37"/>
      <c r="C173" s="37"/>
      <c r="D173" s="37"/>
      <c r="E173" s="37"/>
      <c r="F173" s="37"/>
      <c r="G173" s="37"/>
      <c r="H173" s="37"/>
    </row>
    <row r="174" spans="2:8" x14ac:dyDescent="0.25">
      <c r="B174" s="47" t="s">
        <v>99</v>
      </c>
      <c r="C174" s="48"/>
      <c r="D174" s="48"/>
      <c r="E174" s="48"/>
      <c r="F174" s="48"/>
      <c r="G174" s="49"/>
    </row>
    <row r="175" spans="2:8" x14ac:dyDescent="0.25">
      <c r="B175" s="14" t="s">
        <v>98</v>
      </c>
      <c r="C175" s="27">
        <v>279</v>
      </c>
      <c r="D175" s="27">
        <v>360</v>
      </c>
      <c r="E175" s="27">
        <v>207</v>
      </c>
      <c r="F175" s="27">
        <v>44</v>
      </c>
      <c r="G175" s="27">
        <f>SUM(C175:F175)</f>
        <v>890</v>
      </c>
    </row>
    <row r="176" spans="2:8" x14ac:dyDescent="0.25">
      <c r="B176" s="14" t="s">
        <v>96</v>
      </c>
      <c r="C176" s="27">
        <f>29180000/1000000</f>
        <v>29.18</v>
      </c>
      <c r="D176" s="27">
        <v>37.42</v>
      </c>
      <c r="E176" s="27">
        <v>11.18</v>
      </c>
      <c r="F176" s="27">
        <v>4.66</v>
      </c>
      <c r="G176" s="11">
        <f>SUM(C176:F176)</f>
        <v>82.44</v>
      </c>
    </row>
    <row r="177" spans="2:8" x14ac:dyDescent="0.25">
      <c r="B177" s="37"/>
      <c r="C177" s="37"/>
      <c r="D177" s="37"/>
      <c r="E177" s="37"/>
      <c r="F177" s="37"/>
      <c r="G177" s="37"/>
      <c r="H177" s="37"/>
    </row>
    <row r="178" spans="2:8" x14ac:dyDescent="0.25">
      <c r="B178" s="47" t="s">
        <v>100</v>
      </c>
      <c r="C178" s="48"/>
      <c r="D178" s="48"/>
      <c r="E178" s="48"/>
      <c r="F178" s="48"/>
      <c r="G178" s="49"/>
    </row>
    <row r="179" spans="2:8" x14ac:dyDescent="0.25">
      <c r="B179" s="14" t="s">
        <v>98</v>
      </c>
      <c r="C179" s="27">
        <v>363</v>
      </c>
      <c r="D179" s="27">
        <v>71</v>
      </c>
      <c r="E179" s="27">
        <v>0</v>
      </c>
      <c r="F179" s="27">
        <v>0</v>
      </c>
      <c r="G179" s="27">
        <f>SUM(C179:F179)</f>
        <v>434</v>
      </c>
    </row>
    <row r="180" spans="2:8" x14ac:dyDescent="0.25">
      <c r="B180" s="14" t="s">
        <v>96</v>
      </c>
      <c r="C180" s="27">
        <f>14765000/1000000</f>
        <v>14.765000000000001</v>
      </c>
      <c r="D180" s="27">
        <v>7.05</v>
      </c>
      <c r="E180" s="27">
        <v>0</v>
      </c>
      <c r="F180" s="27">
        <v>0</v>
      </c>
      <c r="G180" s="11">
        <f>SUM(C180:F180)</f>
        <v>21.815000000000001</v>
      </c>
    </row>
    <row r="181" spans="2:8" x14ac:dyDescent="0.25">
      <c r="B181" s="37"/>
      <c r="C181" s="37"/>
      <c r="D181" s="37"/>
      <c r="E181" s="37"/>
      <c r="F181" s="37"/>
      <c r="G181" s="37"/>
      <c r="H181" s="37"/>
    </row>
    <row r="182" spans="2:8" x14ac:dyDescent="0.25">
      <c r="B182" s="51" t="s">
        <v>101</v>
      </c>
      <c r="C182" s="51"/>
      <c r="D182" s="51"/>
      <c r="E182" s="51"/>
      <c r="F182" s="51"/>
      <c r="G182" s="51"/>
    </row>
    <row r="183" spans="2:8" x14ac:dyDescent="0.25">
      <c r="B183" s="18" t="s">
        <v>102</v>
      </c>
      <c r="C183" s="19">
        <f>+C179+C175+C171+C167</f>
        <v>3641</v>
      </c>
      <c r="D183" s="19">
        <f>D167+D171+D175+D179</f>
        <v>3650</v>
      </c>
      <c r="E183" s="19">
        <v>374</v>
      </c>
      <c r="F183" s="19">
        <f>+F179+F175+F171+F167</f>
        <v>1118</v>
      </c>
      <c r="G183" s="19">
        <f>SUM(C183:F183)</f>
        <v>8783</v>
      </c>
    </row>
    <row r="184" spans="2:8" x14ac:dyDescent="0.25">
      <c r="B184" s="18" t="s">
        <v>103</v>
      </c>
      <c r="C184" s="19">
        <f>+C180+C176+C172+C168</f>
        <v>148.91</v>
      </c>
      <c r="D184" s="19">
        <f>D168+D172+D176+D180</f>
        <v>113.97699999999999</v>
      </c>
      <c r="E184" s="19">
        <v>17.98</v>
      </c>
      <c r="F184" s="19">
        <f>+F180+F176+F172+F168</f>
        <v>38.776000000000003</v>
      </c>
      <c r="G184" s="22">
        <f>SUM(C184:F184)</f>
        <v>319.64300000000003</v>
      </c>
    </row>
    <row r="185" spans="2:8" x14ac:dyDescent="0.25">
      <c r="B185" s="37"/>
      <c r="C185" s="37"/>
      <c r="D185" s="37"/>
      <c r="E185" s="37"/>
      <c r="F185" s="37"/>
      <c r="G185" s="37"/>
      <c r="H185" s="37"/>
    </row>
    <row r="186" spans="2:8" x14ac:dyDescent="0.25">
      <c r="B186" s="51" t="s">
        <v>104</v>
      </c>
      <c r="C186" s="51"/>
      <c r="D186" s="51"/>
      <c r="E186" s="51"/>
      <c r="F186" s="51"/>
      <c r="G186" s="51"/>
    </row>
    <row r="187" spans="2:8" x14ac:dyDescent="0.25">
      <c r="B187" s="14" t="s">
        <v>105</v>
      </c>
      <c r="C187" s="27">
        <v>6982</v>
      </c>
      <c r="D187" s="27">
        <v>0</v>
      </c>
      <c r="E187" s="27">
        <v>104</v>
      </c>
      <c r="F187" s="27">
        <v>30652</v>
      </c>
      <c r="G187" s="27">
        <f>SUM(C187:F187)</f>
        <v>37738</v>
      </c>
    </row>
    <row r="188" spans="2:8" x14ac:dyDescent="0.25">
      <c r="B188" s="14" t="s">
        <v>106</v>
      </c>
      <c r="C188" s="27">
        <f>91697163/1000000</f>
        <v>91.697163000000003</v>
      </c>
      <c r="D188" s="27">
        <v>0</v>
      </c>
      <c r="E188" s="27">
        <v>5.04</v>
      </c>
      <c r="F188" s="27">
        <v>221.32562900000002</v>
      </c>
      <c r="G188" s="11">
        <f>SUM(C188:F188)</f>
        <v>318.06279200000006</v>
      </c>
    </row>
    <row r="189" spans="2:8" x14ac:dyDescent="0.25">
      <c r="B189" s="37"/>
      <c r="C189" s="37"/>
      <c r="D189" s="37"/>
      <c r="E189" s="37"/>
      <c r="F189" s="37"/>
      <c r="G189" s="37"/>
      <c r="H189" s="37"/>
    </row>
    <row r="190" spans="2:8" x14ac:dyDescent="0.25">
      <c r="B190" s="51" t="s">
        <v>107</v>
      </c>
      <c r="C190" s="51"/>
      <c r="D190" s="51"/>
      <c r="E190" s="51"/>
      <c r="F190" s="51"/>
      <c r="G190" s="51"/>
    </row>
    <row r="191" spans="2:8" x14ac:dyDescent="0.25">
      <c r="B191" s="18" t="s">
        <v>108</v>
      </c>
      <c r="C191" s="19">
        <f>C187+C162+C183</f>
        <v>13833</v>
      </c>
      <c r="D191" s="19">
        <f>+D187+D183+D162+D158</f>
        <v>21653</v>
      </c>
      <c r="E191" s="19">
        <v>7984</v>
      </c>
      <c r="F191" s="19">
        <f>F158+F162+F183+F187</f>
        <v>61304</v>
      </c>
      <c r="G191" s="19">
        <f>SUM(C191:F191)</f>
        <v>104774</v>
      </c>
    </row>
    <row r="192" spans="2:8" x14ac:dyDescent="0.25">
      <c r="B192" s="18" t="s">
        <v>109</v>
      </c>
      <c r="C192" s="19">
        <f>C188+C163+C184</f>
        <v>315.05262900000002</v>
      </c>
      <c r="D192" s="19">
        <f>+D188+D184+D163+D159</f>
        <v>316.56756799999994</v>
      </c>
      <c r="E192" s="19">
        <v>165.24085399999998</v>
      </c>
      <c r="F192" s="19">
        <f>F159+F184+F163+F188</f>
        <v>442.65125799999998</v>
      </c>
      <c r="G192" s="22">
        <f>SUM(C192:F192)</f>
        <v>1239.512309</v>
      </c>
    </row>
    <row r="193" spans="3:7" s="1" customFormat="1" x14ac:dyDescent="0.25">
      <c r="G193" s="7"/>
    </row>
    <row r="194" spans="3:7" s="1" customFormat="1" x14ac:dyDescent="0.25">
      <c r="C194" s="7"/>
      <c r="G194" s="7"/>
    </row>
    <row r="195" spans="3:7" s="1" customFormat="1" x14ac:dyDescent="0.25">
      <c r="G195" s="7"/>
    </row>
    <row r="196" spans="3:7" s="1" customFormat="1" x14ac:dyDescent="0.25">
      <c r="C196" s="8"/>
      <c r="G196" s="7"/>
    </row>
  </sheetData>
  <mergeCells count="80"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  <mergeCell ref="B53:G53"/>
    <mergeCell ref="B32:G32"/>
    <mergeCell ref="B36:G36"/>
    <mergeCell ref="B38:G38"/>
    <mergeCell ref="B39:G39"/>
    <mergeCell ref="B42:H42"/>
    <mergeCell ref="B43:G43"/>
    <mergeCell ref="B46:H46"/>
    <mergeCell ref="B47:G47"/>
    <mergeCell ref="B50:H50"/>
    <mergeCell ref="B51:G51"/>
    <mergeCell ref="B52:H52"/>
    <mergeCell ref="B105:G105"/>
    <mergeCell ref="B54:G54"/>
    <mergeCell ref="B60:G60"/>
    <mergeCell ref="B66:G66"/>
    <mergeCell ref="B72:G72"/>
    <mergeCell ref="B78:H78"/>
    <mergeCell ref="B79:G79"/>
    <mergeCell ref="B80:G80"/>
    <mergeCell ref="B86:G86"/>
    <mergeCell ref="B92:G92"/>
    <mergeCell ref="B98:G98"/>
    <mergeCell ref="B104:H104"/>
    <mergeCell ref="B133:G133"/>
    <mergeCell ref="B106:G106"/>
    <mergeCell ref="B110:G110"/>
    <mergeCell ref="B114:I114"/>
    <mergeCell ref="B115:G115"/>
    <mergeCell ref="B119:G119"/>
    <mergeCell ref="B123:H123"/>
    <mergeCell ref="B124:G124"/>
    <mergeCell ref="B126:G126"/>
    <mergeCell ref="B128:H128"/>
    <mergeCell ref="B129:G129"/>
    <mergeCell ref="B132:H132"/>
    <mergeCell ref="B152:H152"/>
    <mergeCell ref="B135:H135"/>
    <mergeCell ref="B136:G136"/>
    <mergeCell ref="B137:G137"/>
    <mergeCell ref="B140:H140"/>
    <mergeCell ref="B141:H141"/>
    <mergeCell ref="B142:G142"/>
    <mergeCell ref="B143:G143"/>
    <mergeCell ref="B144:H144"/>
    <mergeCell ref="B145:G145"/>
    <mergeCell ref="B148:H148"/>
    <mergeCell ref="B149:G149"/>
    <mergeCell ref="B174:G174"/>
    <mergeCell ref="B153:G153"/>
    <mergeCell ref="B156:H156"/>
    <mergeCell ref="B157:G157"/>
    <mergeCell ref="B160:H160"/>
    <mergeCell ref="B161:G161"/>
    <mergeCell ref="B164:G164"/>
    <mergeCell ref="B165:G165"/>
    <mergeCell ref="B166:G166"/>
    <mergeCell ref="B169:G169"/>
    <mergeCell ref="B170:G170"/>
    <mergeCell ref="B173:H173"/>
    <mergeCell ref="B189:H189"/>
    <mergeCell ref="B190:G190"/>
    <mergeCell ref="B177:H177"/>
    <mergeCell ref="B178:G178"/>
    <mergeCell ref="B181:H181"/>
    <mergeCell ref="B182:G182"/>
    <mergeCell ref="B185:H185"/>
    <mergeCell ref="B186:G18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A524E-9314-4A15-ABEE-01A17C1DAFB2}">
  <dimension ref="A1:BD196"/>
  <sheetViews>
    <sheetView topLeftCell="B1" zoomScaleNormal="100" workbookViewId="0">
      <selection activeCell="C6" sqref="C6"/>
    </sheetView>
  </sheetViews>
  <sheetFormatPr baseColWidth="10" defaultColWidth="53.140625" defaultRowHeight="15" x14ac:dyDescent="0.25"/>
  <cols>
    <col min="1" max="1" width="1.42578125" style="1" bestFit="1" customWidth="1"/>
    <col min="2" max="2" width="53.28515625" bestFit="1" customWidth="1"/>
    <col min="3" max="4" width="16.42578125" bestFit="1" customWidth="1"/>
    <col min="5" max="6" width="14.7109375" bestFit="1" customWidth="1"/>
    <col min="7" max="7" width="16.42578125" style="7" bestFit="1" customWidth="1"/>
    <col min="8" max="56" width="53.140625" style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38" t="s">
        <v>1</v>
      </c>
      <c r="D2" s="39"/>
      <c r="E2" s="39"/>
      <c r="F2" s="39"/>
      <c r="G2" s="40"/>
    </row>
    <row r="3" spans="1:7" ht="21" x14ac:dyDescent="0.35">
      <c r="B3" s="1"/>
      <c r="C3" s="5" t="s">
        <v>2</v>
      </c>
      <c r="D3" s="5" t="s">
        <v>3</v>
      </c>
      <c r="E3" s="6" t="s">
        <v>4</v>
      </c>
      <c r="F3" s="5" t="s">
        <v>5</v>
      </c>
      <c r="G3" s="15" t="s">
        <v>6</v>
      </c>
    </row>
    <row r="4" spans="1:7" ht="21" x14ac:dyDescent="0.35">
      <c r="B4" s="41" t="s">
        <v>7</v>
      </c>
      <c r="C4" s="42"/>
      <c r="D4" s="42"/>
      <c r="E4" s="42"/>
      <c r="F4" s="42"/>
      <c r="G4" s="43"/>
    </row>
    <row r="5" spans="1:7" x14ac:dyDescent="0.25">
      <c r="B5" s="44" t="s">
        <v>8</v>
      </c>
      <c r="C5" s="45"/>
      <c r="D5" s="45"/>
      <c r="E5" s="45"/>
      <c r="F5" s="45"/>
      <c r="G5" s="46"/>
    </row>
    <row r="6" spans="1:7" x14ac:dyDescent="0.25">
      <c r="B6" s="4" t="s">
        <v>9</v>
      </c>
      <c r="C6" s="12">
        <v>54186</v>
      </c>
      <c r="D6" s="12">
        <v>8213</v>
      </c>
      <c r="E6" s="12">
        <v>7521</v>
      </c>
      <c r="F6" s="12">
        <v>9093</v>
      </c>
      <c r="G6" s="12">
        <f>+F6+E6+D6+C6</f>
        <v>79013</v>
      </c>
    </row>
    <row r="7" spans="1:7" x14ac:dyDescent="0.25">
      <c r="B7" s="14" t="s">
        <v>10</v>
      </c>
      <c r="C7" s="12">
        <v>565</v>
      </c>
      <c r="D7" s="12">
        <v>288</v>
      </c>
      <c r="E7" s="12">
        <v>23</v>
      </c>
      <c r="F7" s="12">
        <v>129</v>
      </c>
      <c r="G7" s="12">
        <f>+F7+E7+D7+C7</f>
        <v>1005</v>
      </c>
    </row>
    <row r="8" spans="1:7" x14ac:dyDescent="0.25">
      <c r="B8" s="18" t="s">
        <v>11</v>
      </c>
      <c r="C8" s="25">
        <f>SUM(C6:C7)</f>
        <v>54751</v>
      </c>
      <c r="D8" s="25">
        <f>+D6+D7</f>
        <v>8501</v>
      </c>
      <c r="E8" s="25">
        <v>7544</v>
      </c>
      <c r="F8" s="25">
        <v>9222</v>
      </c>
      <c r="G8" s="25">
        <f>+F8+E8+D8+C8</f>
        <v>80018</v>
      </c>
    </row>
    <row r="9" spans="1:7" x14ac:dyDescent="0.25">
      <c r="B9" s="37"/>
      <c r="C9" s="37"/>
      <c r="D9" s="37"/>
      <c r="E9" s="37"/>
      <c r="F9" s="37"/>
      <c r="G9" s="37"/>
    </row>
    <row r="10" spans="1:7" x14ac:dyDescent="0.25">
      <c r="B10" s="44" t="s">
        <v>12</v>
      </c>
      <c r="C10" s="45"/>
      <c r="D10" s="45"/>
      <c r="E10" s="45"/>
      <c r="F10" s="45"/>
      <c r="G10" s="46"/>
    </row>
    <row r="11" spans="1:7" x14ac:dyDescent="0.25">
      <c r="B11" s="47" t="s">
        <v>13</v>
      </c>
      <c r="C11" s="48"/>
      <c r="D11" s="48"/>
      <c r="E11" s="48"/>
      <c r="F11" s="48"/>
      <c r="G11" s="49"/>
    </row>
    <row r="12" spans="1:7" x14ac:dyDescent="0.25">
      <c r="B12" s="16" t="s">
        <v>14</v>
      </c>
      <c r="C12" s="17">
        <v>722136</v>
      </c>
      <c r="D12" s="17">
        <v>87573</v>
      </c>
      <c r="E12" s="17">
        <v>34390</v>
      </c>
      <c r="F12" s="17">
        <v>0</v>
      </c>
      <c r="G12" s="17">
        <f>SUM(C12:F12)</f>
        <v>844099</v>
      </c>
    </row>
    <row r="13" spans="1:7" x14ac:dyDescent="0.25">
      <c r="B13" s="16" t="s">
        <v>15</v>
      </c>
      <c r="C13" s="17">
        <v>2596262</v>
      </c>
      <c r="D13" s="17">
        <v>542238</v>
      </c>
      <c r="E13" s="17">
        <v>224207</v>
      </c>
      <c r="F13" s="17">
        <v>0</v>
      </c>
      <c r="G13" s="17">
        <f>SUM(C13:F13)</f>
        <v>3362707</v>
      </c>
    </row>
    <row r="14" spans="1:7" x14ac:dyDescent="0.25">
      <c r="B14" s="18" t="s">
        <v>16</v>
      </c>
      <c r="C14" s="19">
        <f>C13+C12</f>
        <v>3318398</v>
      </c>
      <c r="D14" s="19">
        <v>909364</v>
      </c>
      <c r="E14" s="19">
        <v>258597</v>
      </c>
      <c r="F14" s="19">
        <v>151651</v>
      </c>
      <c r="G14" s="19">
        <f>SUM(C14:F14)</f>
        <v>4638010</v>
      </c>
    </row>
    <row r="15" spans="1:7" x14ac:dyDescent="0.25">
      <c r="B15" s="18" t="s">
        <v>17</v>
      </c>
      <c r="C15" s="19">
        <v>564948</v>
      </c>
      <c r="D15" s="19">
        <v>226225</v>
      </c>
      <c r="E15" s="19">
        <v>3757</v>
      </c>
      <c r="F15" s="19">
        <v>332919</v>
      </c>
      <c r="G15" s="19">
        <f>SUM(C15:F15)</f>
        <v>1127849</v>
      </c>
    </row>
    <row r="16" spans="1:7" x14ac:dyDescent="0.25">
      <c r="B16" s="18" t="s">
        <v>18</v>
      </c>
      <c r="C16" s="19">
        <f>C15+C14</f>
        <v>3883346</v>
      </c>
      <c r="D16" s="19">
        <f>+D14+D15</f>
        <v>1135589</v>
      </c>
      <c r="E16" s="19">
        <v>262354</v>
      </c>
      <c r="F16" s="19">
        <v>484570</v>
      </c>
      <c r="G16" s="19">
        <f>SUM(C16:F16)</f>
        <v>5765859</v>
      </c>
    </row>
    <row r="17" spans="2:8" x14ac:dyDescent="0.25">
      <c r="B17" s="37"/>
      <c r="C17" s="37"/>
      <c r="D17" s="37"/>
      <c r="E17" s="37"/>
      <c r="F17" s="37"/>
      <c r="G17" s="37"/>
    </row>
    <row r="18" spans="2:8" x14ac:dyDescent="0.25">
      <c r="B18" s="47" t="s">
        <v>19</v>
      </c>
      <c r="C18" s="48"/>
      <c r="D18" s="48"/>
      <c r="E18" s="48"/>
      <c r="F18" s="48"/>
      <c r="G18" s="49"/>
    </row>
    <row r="19" spans="2:8" x14ac:dyDescent="0.25">
      <c r="B19" s="14" t="s">
        <v>20</v>
      </c>
      <c r="C19" s="27">
        <v>465</v>
      </c>
      <c r="D19" s="27">
        <v>2</v>
      </c>
      <c r="E19" s="27">
        <v>0</v>
      </c>
      <c r="F19" s="27">
        <v>0</v>
      </c>
      <c r="G19" s="27">
        <f>SUM(C19:F19)</f>
        <v>467</v>
      </c>
    </row>
    <row r="20" spans="2:8" x14ac:dyDescent="0.25">
      <c r="B20" s="50"/>
      <c r="C20" s="50"/>
      <c r="D20" s="50"/>
      <c r="E20" s="50"/>
      <c r="F20" s="50"/>
      <c r="G20" s="50"/>
    </row>
    <row r="21" spans="2:8" x14ac:dyDescent="0.25">
      <c r="B21" s="18" t="s">
        <v>21</v>
      </c>
      <c r="C21" s="19">
        <f>+C16+C19</f>
        <v>3883811</v>
      </c>
      <c r="D21" s="19">
        <v>1135591</v>
      </c>
      <c r="E21" s="19">
        <f>+E16</f>
        <v>262354</v>
      </c>
      <c r="F21" s="19">
        <f>F16</f>
        <v>484570</v>
      </c>
      <c r="G21" s="19">
        <f>SUM(C21:F21)</f>
        <v>5766326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19">
        <v>413825</v>
      </c>
      <c r="D24" s="19">
        <v>233332</v>
      </c>
      <c r="E24" s="19">
        <v>178800</v>
      </c>
      <c r="F24" s="19">
        <v>636252</v>
      </c>
      <c r="G24" s="19">
        <f>SUM(C24:F24)</f>
        <v>1462209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19">
        <f>+C24+C21</f>
        <v>4297636</v>
      </c>
      <c r="D27" s="19">
        <f>+D24+D21</f>
        <v>1368923</v>
      </c>
      <c r="E27" s="19">
        <f>+E24+E21</f>
        <v>441154</v>
      </c>
      <c r="F27" s="19">
        <v>1120822</v>
      </c>
      <c r="G27" s="19">
        <f>SUM(C27:F27)</f>
        <v>7228535</v>
      </c>
    </row>
    <row r="28" spans="2:8" x14ac:dyDescent="0.25">
      <c r="B28" s="37"/>
      <c r="C28" s="37"/>
      <c r="D28" s="37"/>
      <c r="E28" s="37"/>
      <c r="F28" s="37"/>
      <c r="G28" s="37"/>
      <c r="H28" s="37"/>
    </row>
    <row r="29" spans="2:8" x14ac:dyDescent="0.25">
      <c r="B29" s="44" t="s">
        <v>26</v>
      </c>
      <c r="C29" s="45"/>
      <c r="D29" s="45"/>
      <c r="E29" s="45"/>
      <c r="F29" s="45"/>
      <c r="G29" s="46"/>
    </row>
    <row r="30" spans="2:8" x14ac:dyDescent="0.25">
      <c r="B30" s="14" t="s">
        <v>27</v>
      </c>
      <c r="C30" s="27">
        <v>1175335</v>
      </c>
      <c r="D30" s="27">
        <v>121945</v>
      </c>
      <c r="E30" s="27">
        <v>67163</v>
      </c>
      <c r="F30" s="27">
        <v>174237</v>
      </c>
      <c r="G30" s="27">
        <f>SUM(C30:F30)</f>
        <v>1538680</v>
      </c>
    </row>
    <row r="31" spans="2:8" x14ac:dyDescent="0.25">
      <c r="B31" s="37"/>
      <c r="C31" s="37"/>
      <c r="D31" s="37"/>
      <c r="E31" s="37"/>
      <c r="F31" s="37"/>
      <c r="G31" s="37"/>
      <c r="H31" s="37"/>
    </row>
    <row r="32" spans="2:8" x14ac:dyDescent="0.25">
      <c r="B32" s="44" t="s">
        <v>28</v>
      </c>
      <c r="C32" s="45"/>
      <c r="D32" s="45"/>
      <c r="E32" s="45"/>
      <c r="F32" s="45"/>
      <c r="G32" s="46"/>
    </row>
    <row r="33" spans="2:9" x14ac:dyDescent="0.25">
      <c r="B33" s="14" t="s">
        <v>29</v>
      </c>
      <c r="C33" s="27">
        <v>4861395425212</v>
      </c>
      <c r="D33" s="27">
        <v>753327734782</v>
      </c>
      <c r="E33" s="27">
        <v>279747343299</v>
      </c>
      <c r="F33" s="27">
        <v>554432574635</v>
      </c>
      <c r="G33" s="27">
        <f>SUM(C33:F33)</f>
        <v>6448903077928</v>
      </c>
    </row>
    <row r="34" spans="2:9" x14ac:dyDescent="0.25">
      <c r="B34" s="14" t="s">
        <v>30</v>
      </c>
      <c r="C34" s="27">
        <v>223635473344</v>
      </c>
      <c r="D34" s="27">
        <v>96633420628</v>
      </c>
      <c r="E34" s="27">
        <v>66675036200</v>
      </c>
      <c r="F34" s="27">
        <v>230517238765</v>
      </c>
      <c r="G34" s="27">
        <f>SUM(C34:F34)</f>
        <v>617461168937</v>
      </c>
    </row>
    <row r="35" spans="2:9" x14ac:dyDescent="0.25">
      <c r="B35" s="32" t="s">
        <v>31</v>
      </c>
      <c r="C35" s="33">
        <f>SUM(C33:C34)</f>
        <v>5085030898556</v>
      </c>
      <c r="D35" s="33">
        <f>+D34+D33</f>
        <v>849961155410</v>
      </c>
      <c r="E35" s="33">
        <v>346422379499</v>
      </c>
      <c r="F35" s="33">
        <v>784949813400</v>
      </c>
      <c r="G35" s="33">
        <f>SUM(C35:F35)</f>
        <v>7066364246865</v>
      </c>
    </row>
    <row r="36" spans="2:9" x14ac:dyDescent="0.25">
      <c r="B36" s="52" t="s">
        <v>32</v>
      </c>
      <c r="C36" s="52"/>
      <c r="D36" s="52"/>
      <c r="E36" s="52"/>
      <c r="F36" s="52"/>
      <c r="G36" s="52"/>
      <c r="H36"/>
    </row>
    <row r="37" spans="2:9" x14ac:dyDescent="0.25">
      <c r="B37" s="31"/>
      <c r="C37" s="31"/>
      <c r="D37" s="31"/>
      <c r="E37" s="31"/>
      <c r="F37" s="31"/>
      <c r="G37" s="31"/>
      <c r="H37" s="31"/>
    </row>
    <row r="38" spans="2:9" ht="21" x14ac:dyDescent="0.35">
      <c r="B38" s="41" t="s">
        <v>33</v>
      </c>
      <c r="C38" s="42"/>
      <c r="D38" s="42"/>
      <c r="E38" s="42"/>
      <c r="F38" s="42"/>
      <c r="G38" s="43"/>
    </row>
    <row r="39" spans="2:9" x14ac:dyDescent="0.25">
      <c r="B39" s="44" t="s">
        <v>34</v>
      </c>
      <c r="C39" s="45"/>
      <c r="D39" s="45"/>
      <c r="E39" s="45"/>
      <c r="F39" s="45"/>
      <c r="G39" s="46"/>
    </row>
    <row r="40" spans="2:9" x14ac:dyDescent="0.25">
      <c r="B40" s="14" t="s">
        <v>35</v>
      </c>
      <c r="C40" s="27">
        <v>591505</v>
      </c>
      <c r="D40" s="27">
        <v>101550</v>
      </c>
      <c r="E40" s="27">
        <v>44153</v>
      </c>
      <c r="F40" s="27">
        <v>61079</v>
      </c>
      <c r="G40" s="27">
        <f>SUM(C40:F40)</f>
        <v>798287</v>
      </c>
      <c r="H40" s="7"/>
      <c r="I40" s="7"/>
    </row>
    <row r="41" spans="2:9" x14ac:dyDescent="0.25">
      <c r="B41" s="14" t="s">
        <v>36</v>
      </c>
      <c r="C41" s="27">
        <f>4149692133/1000000</f>
        <v>4149.6921329999996</v>
      </c>
      <c r="D41" s="27">
        <v>1132.8928679999999</v>
      </c>
      <c r="E41" s="27">
        <v>468.3</v>
      </c>
      <c r="F41" s="27">
        <v>638.29357000000005</v>
      </c>
      <c r="G41" s="11">
        <f>SUM(C41:F41)</f>
        <v>6389.1785709999995</v>
      </c>
      <c r="H41" s="7"/>
      <c r="I41" s="7"/>
    </row>
    <row r="42" spans="2:9" x14ac:dyDescent="0.25">
      <c r="B42" s="37"/>
      <c r="C42" s="37"/>
      <c r="D42" s="37"/>
      <c r="E42" s="37"/>
      <c r="F42" s="37"/>
      <c r="G42" s="37"/>
      <c r="H42" s="37"/>
      <c r="I42" s="7"/>
    </row>
    <row r="43" spans="2:9" x14ac:dyDescent="0.25">
      <c r="B43" s="51" t="s">
        <v>37</v>
      </c>
      <c r="C43" s="51"/>
      <c r="D43" s="51"/>
      <c r="E43" s="51"/>
      <c r="F43" s="51"/>
      <c r="G43" s="51"/>
      <c r="I43" s="7"/>
    </row>
    <row r="44" spans="2:9" x14ac:dyDescent="0.25">
      <c r="B44" s="14" t="s">
        <v>38</v>
      </c>
      <c r="C44" s="27">
        <v>2</v>
      </c>
      <c r="D44" s="27">
        <v>6</v>
      </c>
      <c r="E44" s="27">
        <v>2</v>
      </c>
      <c r="F44" s="27">
        <v>1</v>
      </c>
      <c r="G44" s="27">
        <f>SUM(C44:F44)</f>
        <v>11</v>
      </c>
      <c r="H44" s="7"/>
      <c r="I44" s="7"/>
    </row>
    <row r="45" spans="2:9" x14ac:dyDescent="0.25">
      <c r="B45" s="14" t="s">
        <v>39</v>
      </c>
      <c r="C45" s="11">
        <f>4743480/1000000</f>
        <v>4.7434799999999999</v>
      </c>
      <c r="D45" s="13">
        <v>6.9351999999999997E-2</v>
      </c>
      <c r="E45" s="11">
        <v>0.02</v>
      </c>
      <c r="F45" s="11">
        <v>0.121561</v>
      </c>
      <c r="G45" s="11">
        <f>SUM(C45:F45)</f>
        <v>4.9543929999999996</v>
      </c>
      <c r="H45" s="7"/>
      <c r="I45" s="7"/>
    </row>
    <row r="46" spans="2:9" x14ac:dyDescent="0.25">
      <c r="B46" s="37"/>
      <c r="C46" s="37"/>
      <c r="D46" s="37"/>
      <c r="E46" s="37"/>
      <c r="F46" s="37"/>
      <c r="G46" s="37"/>
      <c r="H46" s="37"/>
      <c r="I46" s="7"/>
    </row>
    <row r="47" spans="2:9" x14ac:dyDescent="0.25">
      <c r="B47" s="51" t="s">
        <v>40</v>
      </c>
      <c r="C47" s="51"/>
      <c r="D47" s="51"/>
      <c r="E47" s="51"/>
      <c r="F47" s="51"/>
      <c r="G47" s="51"/>
      <c r="I47" s="7"/>
    </row>
    <row r="48" spans="2:9" x14ac:dyDescent="0.25">
      <c r="B48" s="14" t="s">
        <v>41</v>
      </c>
      <c r="C48" s="27">
        <v>128517</v>
      </c>
      <c r="D48" s="27">
        <v>47427</v>
      </c>
      <c r="E48" s="27">
        <v>6947</v>
      </c>
      <c r="F48" s="27">
        <v>38750</v>
      </c>
      <c r="G48" s="27">
        <f>SUM(C48:F48)</f>
        <v>221641</v>
      </c>
      <c r="H48" s="7"/>
      <c r="I48" s="7"/>
    </row>
    <row r="49" spans="2:9" x14ac:dyDescent="0.25">
      <c r="B49" s="14" t="s">
        <v>42</v>
      </c>
      <c r="C49" s="27">
        <f>(63039056453+1257207941)/1000000</f>
        <v>64296.264393999998</v>
      </c>
      <c r="D49" s="27">
        <v>19118.093579</v>
      </c>
      <c r="E49" s="27">
        <v>7474.8678600000003</v>
      </c>
      <c r="F49" s="27">
        <v>8890.8135660000007</v>
      </c>
      <c r="G49" s="11">
        <f>SUM(C49:F49)</f>
        <v>99780.039399000001</v>
      </c>
      <c r="H49" s="7"/>
      <c r="I49" s="7"/>
    </row>
    <row r="50" spans="2:9" x14ac:dyDescent="0.25">
      <c r="B50" s="37"/>
      <c r="C50" s="37"/>
      <c r="D50" s="37"/>
      <c r="E50" s="37"/>
      <c r="F50" s="37"/>
      <c r="G50" s="37"/>
      <c r="H50" s="37"/>
    </row>
    <row r="51" spans="2:9" ht="21" x14ac:dyDescent="0.35">
      <c r="B51" s="41" t="s">
        <v>43</v>
      </c>
      <c r="C51" s="42"/>
      <c r="D51" s="42"/>
      <c r="E51" s="42"/>
      <c r="F51" s="42"/>
      <c r="G51" s="43"/>
    </row>
    <row r="52" spans="2:9" x14ac:dyDescent="0.25">
      <c r="B52" s="53"/>
      <c r="C52" s="53"/>
      <c r="D52" s="53"/>
      <c r="E52" s="53"/>
      <c r="F52" s="53"/>
      <c r="G52" s="53"/>
      <c r="H52" s="53"/>
    </row>
    <row r="53" spans="2:9" x14ac:dyDescent="0.25">
      <c r="B53" s="51" t="s">
        <v>44</v>
      </c>
      <c r="C53" s="51"/>
      <c r="D53" s="51"/>
      <c r="E53" s="51"/>
      <c r="F53" s="51"/>
      <c r="G53" s="51"/>
    </row>
    <row r="54" spans="2:9" x14ac:dyDescent="0.25">
      <c r="B54" s="54" t="s">
        <v>45</v>
      </c>
      <c r="C54" s="54"/>
      <c r="D54" s="54"/>
      <c r="E54" s="54"/>
      <c r="F54" s="54"/>
      <c r="G54" s="54"/>
    </row>
    <row r="55" spans="2:9" x14ac:dyDescent="0.25">
      <c r="B55" s="14" t="s">
        <v>46</v>
      </c>
      <c r="C55" s="27">
        <v>116659</v>
      </c>
      <c r="D55" s="27">
        <v>6177</v>
      </c>
      <c r="E55" s="27">
        <v>954</v>
      </c>
      <c r="F55" s="27">
        <v>4467</v>
      </c>
      <c r="G55" s="27">
        <f t="shared" ref="G55:G71" si="0">SUM(C55:F55)</f>
        <v>128257</v>
      </c>
    </row>
    <row r="56" spans="2:9" x14ac:dyDescent="0.25">
      <c r="B56" s="14" t="s">
        <v>47</v>
      </c>
      <c r="C56" s="27">
        <v>81600.489350999997</v>
      </c>
      <c r="D56" s="27">
        <v>9500.0095470000306</v>
      </c>
      <c r="E56" s="27">
        <v>1608.186406</v>
      </c>
      <c r="F56" s="27">
        <v>6738</v>
      </c>
      <c r="G56" s="27">
        <f t="shared" si="0"/>
        <v>99446.685304000013</v>
      </c>
    </row>
    <row r="57" spans="2:9" x14ac:dyDescent="0.25">
      <c r="B57" s="14" t="s">
        <v>48</v>
      </c>
      <c r="C57" s="27">
        <v>15.6595976307014</v>
      </c>
      <c r="D57" s="27">
        <v>40</v>
      </c>
      <c r="E57" s="27">
        <v>21.786163522012579</v>
      </c>
      <c r="F57" s="27">
        <v>20</v>
      </c>
      <c r="G57" s="27">
        <f>AVERAGE(C57:F57)</f>
        <v>24.361440288178493</v>
      </c>
    </row>
    <row r="58" spans="2:9" x14ac:dyDescent="0.25">
      <c r="B58" s="14" t="s">
        <v>49</v>
      </c>
      <c r="C58" s="27">
        <v>1219522</v>
      </c>
      <c r="D58" s="27">
        <v>179951</v>
      </c>
      <c r="E58" s="27">
        <v>49616</v>
      </c>
      <c r="F58" s="27">
        <v>93829</v>
      </c>
      <c r="G58" s="27">
        <f t="shared" si="0"/>
        <v>1542918</v>
      </c>
    </row>
    <row r="59" spans="2:9" x14ac:dyDescent="0.25">
      <c r="B59" s="14" t="s">
        <v>50</v>
      </c>
      <c r="C59" s="27">
        <v>2568351.8712419998</v>
      </c>
      <c r="D59" s="27">
        <v>366052.32355799997</v>
      </c>
      <c r="E59" s="27">
        <v>117033.63106</v>
      </c>
      <c r="F59" s="27">
        <v>247321</v>
      </c>
      <c r="G59" s="11">
        <f t="shared" si="0"/>
        <v>3298758.8258599997</v>
      </c>
    </row>
    <row r="60" spans="2:9" x14ac:dyDescent="0.25">
      <c r="B60" s="54" t="s">
        <v>51</v>
      </c>
      <c r="C60" s="54"/>
      <c r="D60" s="54"/>
      <c r="E60" s="54"/>
      <c r="F60" s="54"/>
      <c r="G60" s="54"/>
    </row>
    <row r="61" spans="2:9" x14ac:dyDescent="0.25">
      <c r="B61" s="14" t="s">
        <v>46</v>
      </c>
      <c r="C61" s="20">
        <v>0</v>
      </c>
      <c r="D61" s="14">
        <v>0</v>
      </c>
      <c r="E61" s="14">
        <v>0</v>
      </c>
      <c r="F61" s="20">
        <v>0</v>
      </c>
      <c r="G61" s="27">
        <f t="shared" si="0"/>
        <v>0</v>
      </c>
    </row>
    <row r="62" spans="2:9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9" x14ac:dyDescent="0.25">
      <c r="B63" s="14" t="s">
        <v>48</v>
      </c>
      <c r="C63" s="20">
        <v>0</v>
      </c>
      <c r="D63" s="24">
        <v>0</v>
      </c>
      <c r="E63" s="24">
        <v>0</v>
      </c>
      <c r="F63" s="20">
        <v>0</v>
      </c>
      <c r="G63" s="20">
        <v>0</v>
      </c>
    </row>
    <row r="64" spans="2:9" x14ac:dyDescent="0.25">
      <c r="B64" s="14" t="s">
        <v>49</v>
      </c>
      <c r="C64" s="20">
        <v>0</v>
      </c>
      <c r="D64" s="27">
        <v>0</v>
      </c>
      <c r="E64" s="27">
        <v>0</v>
      </c>
      <c r="F64" s="20">
        <v>0</v>
      </c>
      <c r="G64" s="27">
        <f t="shared" si="0"/>
        <v>0</v>
      </c>
    </row>
    <row r="65" spans="2:8" x14ac:dyDescent="0.25">
      <c r="B65" s="14" t="s">
        <v>50</v>
      </c>
      <c r="C65" s="20">
        <v>0</v>
      </c>
      <c r="D65" s="27">
        <v>0</v>
      </c>
      <c r="E65" s="27">
        <v>0</v>
      </c>
      <c r="F65" s="20">
        <v>0</v>
      </c>
      <c r="G65" s="11">
        <f t="shared" si="0"/>
        <v>0</v>
      </c>
    </row>
    <row r="66" spans="2:8" x14ac:dyDescent="0.25">
      <c r="B66" s="54" t="s">
        <v>52</v>
      </c>
      <c r="C66" s="54"/>
      <c r="D66" s="54"/>
      <c r="E66" s="54"/>
      <c r="F66" s="54"/>
      <c r="G66" s="54"/>
    </row>
    <row r="67" spans="2:8" x14ac:dyDescent="0.25">
      <c r="B67" s="14" t="s">
        <v>46</v>
      </c>
      <c r="C67" s="27">
        <v>4954</v>
      </c>
      <c r="D67" s="27">
        <v>2080</v>
      </c>
      <c r="E67" s="27">
        <v>2050</v>
      </c>
      <c r="F67" s="27">
        <v>5990</v>
      </c>
      <c r="G67" s="27">
        <f t="shared" si="0"/>
        <v>15074</v>
      </c>
    </row>
    <row r="68" spans="2:8" x14ac:dyDescent="0.25">
      <c r="B68" s="14" t="s">
        <v>47</v>
      </c>
      <c r="C68" s="27">
        <v>5179.6368339999999</v>
      </c>
      <c r="D68" s="27">
        <v>2385.123333</v>
      </c>
      <c r="E68" s="27">
        <v>3127.3980539999998</v>
      </c>
      <c r="F68" s="27">
        <v>6279</v>
      </c>
      <c r="G68" s="27">
        <f t="shared" si="0"/>
        <v>16971.158220999998</v>
      </c>
    </row>
    <row r="69" spans="2:8" x14ac:dyDescent="0.25">
      <c r="B69" s="14" t="s">
        <v>48</v>
      </c>
      <c r="C69" s="27">
        <v>33.237383932176002</v>
      </c>
      <c r="D69" s="27">
        <v>54</v>
      </c>
      <c r="E69" s="27">
        <v>52.663414634146342</v>
      </c>
      <c r="F69" s="27">
        <v>48</v>
      </c>
      <c r="G69" s="27">
        <f>AVERAGE(C69:F69)</f>
        <v>46.975199641580588</v>
      </c>
    </row>
    <row r="70" spans="2:8" x14ac:dyDescent="0.25">
      <c r="B70" s="14" t="s">
        <v>49</v>
      </c>
      <c r="C70" s="27">
        <v>145967</v>
      </c>
      <c r="D70" s="27">
        <v>100684</v>
      </c>
      <c r="E70" s="27">
        <v>99916</v>
      </c>
      <c r="F70" s="27">
        <v>294215</v>
      </c>
      <c r="G70" s="27">
        <f t="shared" si="0"/>
        <v>640782</v>
      </c>
    </row>
    <row r="71" spans="2:8" x14ac:dyDescent="0.25">
      <c r="B71" s="14" t="s">
        <v>50</v>
      </c>
      <c r="C71" s="27">
        <v>175378.11021099999</v>
      </c>
      <c r="D71" s="27">
        <v>122683.014641</v>
      </c>
      <c r="E71" s="27">
        <v>126694.427388</v>
      </c>
      <c r="F71" s="27">
        <v>323743</v>
      </c>
      <c r="G71" s="11">
        <f t="shared" si="0"/>
        <v>748498.55223999999</v>
      </c>
    </row>
    <row r="72" spans="2:8" x14ac:dyDescent="0.25">
      <c r="B72" s="55" t="s">
        <v>53</v>
      </c>
      <c r="C72" s="56"/>
      <c r="D72" s="56"/>
      <c r="E72" s="56"/>
      <c r="F72" s="56"/>
      <c r="G72" s="57"/>
    </row>
    <row r="73" spans="2:8" x14ac:dyDescent="0.25">
      <c r="B73" s="18" t="s">
        <v>54</v>
      </c>
      <c r="C73" s="19">
        <f>+C55+C67</f>
        <v>121613</v>
      </c>
      <c r="D73" s="19">
        <f>+D67+D61+D55</f>
        <v>8257</v>
      </c>
      <c r="E73" s="19">
        <v>3004</v>
      </c>
      <c r="F73" s="19">
        <f>+F55+F67</f>
        <v>10457</v>
      </c>
      <c r="G73" s="19">
        <f>SUM(C73:F73)</f>
        <v>143331</v>
      </c>
    </row>
    <row r="74" spans="2:8" x14ac:dyDescent="0.25">
      <c r="B74" s="18" t="s">
        <v>47</v>
      </c>
      <c r="C74" s="19">
        <f>+C56+C68</f>
        <v>86780.126185000001</v>
      </c>
      <c r="D74" s="19">
        <f>+D68+D62+D56</f>
        <v>11885.13288000003</v>
      </c>
      <c r="E74" s="19">
        <v>4735.58446</v>
      </c>
      <c r="F74" s="19">
        <f>+F56+F68</f>
        <v>13017</v>
      </c>
      <c r="G74" s="22">
        <f>SUM(C74:F74)</f>
        <v>116417.84352500003</v>
      </c>
    </row>
    <row r="75" spans="2:8" x14ac:dyDescent="0.25">
      <c r="B75" s="18" t="s">
        <v>48</v>
      </c>
      <c r="C75" s="19">
        <v>16</v>
      </c>
      <c r="D75" s="19">
        <f>(+D57+D63+D69)/3</f>
        <v>31.333333333333332</v>
      </c>
      <c r="E75" s="19">
        <v>42.857523302263651</v>
      </c>
      <c r="F75" s="19">
        <f>(F57+F69)/2</f>
        <v>34</v>
      </c>
      <c r="G75" s="19">
        <f>AVERAGE(C75:F75)</f>
        <v>31.047714158899247</v>
      </c>
    </row>
    <row r="76" spans="2:8" x14ac:dyDescent="0.25">
      <c r="B76" s="18" t="s">
        <v>49</v>
      </c>
      <c r="C76" s="19">
        <f>+C58+C70</f>
        <v>1365489</v>
      </c>
      <c r="D76" s="19">
        <f t="shared" ref="D76" si="1">+D70+D64+D58</f>
        <v>280635</v>
      </c>
      <c r="E76" s="19">
        <v>149532</v>
      </c>
      <c r="F76" s="19">
        <f>+F58+F70</f>
        <v>388044</v>
      </c>
      <c r="G76" s="19">
        <f>SUM(C76:F76)</f>
        <v>2183700</v>
      </c>
    </row>
    <row r="77" spans="2:8" x14ac:dyDescent="0.25">
      <c r="B77" s="18" t="s">
        <v>50</v>
      </c>
      <c r="C77" s="19">
        <f>+C59+C71</f>
        <v>2743729.9814529996</v>
      </c>
      <c r="D77" s="19">
        <f>+D71+D65+D59</f>
        <v>488735.33819899999</v>
      </c>
      <c r="E77" s="19">
        <v>243728.058448</v>
      </c>
      <c r="F77" s="19">
        <f>+F59+F71</f>
        <v>571064</v>
      </c>
      <c r="G77" s="22">
        <f>SUM(C77:F77)</f>
        <v>4047257.3780999994</v>
      </c>
    </row>
    <row r="78" spans="2:8" x14ac:dyDescent="0.25">
      <c r="B78" s="37"/>
      <c r="C78" s="37"/>
      <c r="D78" s="37"/>
      <c r="E78" s="37"/>
      <c r="F78" s="37"/>
      <c r="G78" s="37"/>
      <c r="H78" s="37"/>
    </row>
    <row r="79" spans="2:8" x14ac:dyDescent="0.25">
      <c r="B79" s="44" t="s">
        <v>55</v>
      </c>
      <c r="C79" s="45"/>
      <c r="D79" s="45"/>
      <c r="E79" s="45"/>
      <c r="F79" s="45"/>
      <c r="G79" s="46"/>
    </row>
    <row r="80" spans="2:8" x14ac:dyDescent="0.25">
      <c r="B80" s="47" t="s">
        <v>45</v>
      </c>
      <c r="C80" s="48"/>
      <c r="D80" s="48"/>
      <c r="E80" s="48"/>
      <c r="F80" s="48"/>
      <c r="G80" s="49"/>
    </row>
    <row r="81" spans="2:7" x14ac:dyDescent="0.25">
      <c r="B81" s="14" t="s">
        <v>46</v>
      </c>
      <c r="C81" s="24">
        <v>0</v>
      </c>
      <c r="D81" s="24">
        <v>0</v>
      </c>
      <c r="E81" s="24">
        <f t="shared" ref="E81:F83" si="2">SUM(A81:D81)</f>
        <v>0</v>
      </c>
      <c r="F81" s="24">
        <f t="shared" si="2"/>
        <v>0</v>
      </c>
      <c r="G81" s="20">
        <f>SUM(C81:F81)</f>
        <v>0</v>
      </c>
    </row>
    <row r="82" spans="2:7" x14ac:dyDescent="0.25">
      <c r="B82" s="14" t="s">
        <v>47</v>
      </c>
      <c r="C82" s="24">
        <v>0</v>
      </c>
      <c r="D82" s="24">
        <v>0</v>
      </c>
      <c r="E82" s="24">
        <f t="shared" si="2"/>
        <v>0</v>
      </c>
      <c r="F82" s="24">
        <f t="shared" si="2"/>
        <v>0</v>
      </c>
      <c r="G82" s="24">
        <f>SUM(C82:F82)</f>
        <v>0</v>
      </c>
    </row>
    <row r="83" spans="2:7" x14ac:dyDescent="0.25">
      <c r="B83" s="14" t="s">
        <v>48</v>
      </c>
      <c r="C83" s="24">
        <v>0</v>
      </c>
      <c r="D83" s="24">
        <v>0</v>
      </c>
      <c r="E83" s="24">
        <f t="shared" si="2"/>
        <v>0</v>
      </c>
      <c r="F83" s="24">
        <f t="shared" si="2"/>
        <v>0</v>
      </c>
      <c r="G83" s="24">
        <f>AVERAGE(C83:F83)</f>
        <v>0</v>
      </c>
    </row>
    <row r="84" spans="2:7" x14ac:dyDescent="0.25">
      <c r="B84" s="14" t="s">
        <v>49</v>
      </c>
      <c r="C84" s="24">
        <v>928</v>
      </c>
      <c r="D84" s="24">
        <v>104</v>
      </c>
      <c r="E84" s="24">
        <v>5</v>
      </c>
      <c r="F84" s="24">
        <v>83</v>
      </c>
      <c r="G84" s="24">
        <f>SUM(C84:F84)</f>
        <v>1120</v>
      </c>
    </row>
    <row r="85" spans="2:7" x14ac:dyDescent="0.25">
      <c r="B85" s="14" t="s">
        <v>50</v>
      </c>
      <c r="C85" s="24">
        <v>19652.116622000001</v>
      </c>
      <c r="D85" s="24">
        <v>1240</v>
      </c>
      <c r="E85" s="24">
        <v>58</v>
      </c>
      <c r="F85" s="24">
        <v>1480.2239870000001</v>
      </c>
      <c r="G85" s="11">
        <f>SUM(C85:F85)</f>
        <v>22430.340609000003</v>
      </c>
    </row>
    <row r="86" spans="2:7" x14ac:dyDescent="0.25">
      <c r="B86" s="47" t="s">
        <v>51</v>
      </c>
      <c r="C86" s="48"/>
      <c r="D86" s="48"/>
      <c r="E86" s="48"/>
      <c r="F86" s="48"/>
      <c r="G86" s="49"/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27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27">
        <f>SUM(C88:F88)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27">
        <f>AVERAGE(C89:F89)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27">
        <f>SUM(C90:F90)</f>
        <v>0</v>
      </c>
    </row>
    <row r="91" spans="2:7" x14ac:dyDescent="0.25">
      <c r="B91" s="14" t="s">
        <v>50</v>
      </c>
      <c r="C91" s="20">
        <v>0</v>
      </c>
      <c r="D91" s="14">
        <v>0</v>
      </c>
      <c r="E91" s="20">
        <v>0</v>
      </c>
      <c r="F91" s="24">
        <v>0</v>
      </c>
      <c r="G91" s="27">
        <f>SUM(C91:F91)</f>
        <v>0</v>
      </c>
    </row>
    <row r="92" spans="2:7" x14ac:dyDescent="0.25">
      <c r="B92" s="47" t="s">
        <v>52</v>
      </c>
      <c r="C92" s="48"/>
      <c r="D92" s="48"/>
      <c r="E92" s="48"/>
      <c r="F92" s="48"/>
      <c r="G92" s="49"/>
    </row>
    <row r="93" spans="2:7" x14ac:dyDescent="0.25">
      <c r="B93" s="14" t="s">
        <v>46</v>
      </c>
      <c r="C93" s="27">
        <v>0</v>
      </c>
      <c r="D93" s="27">
        <v>0</v>
      </c>
      <c r="E93" s="27">
        <v>0</v>
      </c>
      <c r="F93" s="27">
        <v>0</v>
      </c>
      <c r="G93" s="27">
        <f>SUM(C93:F93)</f>
        <v>0</v>
      </c>
    </row>
    <row r="94" spans="2:7" x14ac:dyDescent="0.25">
      <c r="B94" s="14" t="s">
        <v>47</v>
      </c>
      <c r="C94" s="27">
        <v>0</v>
      </c>
      <c r="D94" s="27">
        <v>0</v>
      </c>
      <c r="E94" s="27">
        <v>0</v>
      </c>
      <c r="F94" s="27">
        <v>0</v>
      </c>
      <c r="G94" s="27">
        <f>SUM(C94:F94)</f>
        <v>0</v>
      </c>
    </row>
    <row r="95" spans="2:7" x14ac:dyDescent="0.25">
      <c r="B95" s="14" t="s">
        <v>48</v>
      </c>
      <c r="C95" s="27">
        <v>0</v>
      </c>
      <c r="D95" s="27">
        <v>0</v>
      </c>
      <c r="E95" s="27">
        <v>0</v>
      </c>
      <c r="F95" s="27">
        <v>0</v>
      </c>
      <c r="G95" s="27">
        <f>AVERAGE(C95:F95)</f>
        <v>0</v>
      </c>
    </row>
    <row r="96" spans="2:7" x14ac:dyDescent="0.25">
      <c r="B96" s="14" t="s">
        <v>49</v>
      </c>
      <c r="C96" s="27">
        <v>9</v>
      </c>
      <c r="D96" s="27">
        <v>0</v>
      </c>
      <c r="E96" s="27">
        <v>0</v>
      </c>
      <c r="F96" s="27">
        <v>6</v>
      </c>
      <c r="G96" s="27">
        <f>SUM(C96:F96)</f>
        <v>15</v>
      </c>
    </row>
    <row r="97" spans="2:8" x14ac:dyDescent="0.25">
      <c r="B97" s="14" t="s">
        <v>50</v>
      </c>
      <c r="C97" s="27">
        <v>144.29276100000001</v>
      </c>
      <c r="D97" s="27">
        <v>0</v>
      </c>
      <c r="E97" s="27">
        <v>0</v>
      </c>
      <c r="F97" s="27">
        <v>69.705589000000003</v>
      </c>
      <c r="G97" s="11">
        <f>SUM(C97:F97)</f>
        <v>213.99835000000002</v>
      </c>
    </row>
    <row r="98" spans="2:8" x14ac:dyDescent="0.25">
      <c r="B98" s="55" t="s">
        <v>56</v>
      </c>
      <c r="C98" s="56"/>
      <c r="D98" s="56"/>
      <c r="E98" s="56"/>
      <c r="F98" s="56"/>
      <c r="G98" s="57"/>
    </row>
    <row r="99" spans="2:8" x14ac:dyDescent="0.25">
      <c r="B99" s="18" t="s">
        <v>46</v>
      </c>
      <c r="C99" s="19">
        <v>0</v>
      </c>
      <c r="D99" s="19">
        <v>0</v>
      </c>
      <c r="E99" s="19">
        <v>0</v>
      </c>
      <c r="F99" s="19">
        <v>0</v>
      </c>
      <c r="G99" s="19">
        <f>SUM(C99:F99)</f>
        <v>0</v>
      </c>
    </row>
    <row r="100" spans="2:8" x14ac:dyDescent="0.25">
      <c r="B100" s="18" t="s">
        <v>47</v>
      </c>
      <c r="C100" s="19">
        <v>0</v>
      </c>
      <c r="D100" s="19">
        <v>0</v>
      </c>
      <c r="E100" s="19">
        <v>0</v>
      </c>
      <c r="F100" s="19">
        <v>0</v>
      </c>
      <c r="G100" s="22">
        <f>SUM(C100:F100)</f>
        <v>0</v>
      </c>
    </row>
    <row r="101" spans="2:8" x14ac:dyDescent="0.25">
      <c r="B101" s="18" t="s">
        <v>48</v>
      </c>
      <c r="C101" s="19">
        <v>0</v>
      </c>
      <c r="D101" s="19">
        <v>0</v>
      </c>
      <c r="E101" s="19">
        <v>0</v>
      </c>
      <c r="F101" s="19">
        <v>0</v>
      </c>
      <c r="G101" s="19">
        <f>AVERAGE(C101:F101)</f>
        <v>0</v>
      </c>
    </row>
    <row r="102" spans="2:8" x14ac:dyDescent="0.25">
      <c r="B102" s="18" t="s">
        <v>49</v>
      </c>
      <c r="C102" s="19">
        <f>+C96+C84</f>
        <v>937</v>
      </c>
      <c r="D102" s="19">
        <f t="shared" ref="D102:D103" si="3">+D96+D90+D84</f>
        <v>104</v>
      </c>
      <c r="E102" s="19">
        <f>+E84</f>
        <v>5</v>
      </c>
      <c r="F102" s="19">
        <f>+F96+F84</f>
        <v>89</v>
      </c>
      <c r="G102" s="19">
        <f>SUM(C102:F102)</f>
        <v>1135</v>
      </c>
    </row>
    <row r="103" spans="2:8" x14ac:dyDescent="0.25">
      <c r="B103" s="18" t="s">
        <v>50</v>
      </c>
      <c r="C103" s="19">
        <f>+C97+C85</f>
        <v>19796.409383000002</v>
      </c>
      <c r="D103" s="19">
        <f t="shared" si="3"/>
        <v>1240</v>
      </c>
      <c r="E103" s="19">
        <f>+E85</f>
        <v>58</v>
      </c>
      <c r="F103" s="19">
        <f>+F85+F97</f>
        <v>1549.929576</v>
      </c>
      <c r="G103" s="22">
        <f>SUM(C103:F103)</f>
        <v>22644.338959000001</v>
      </c>
    </row>
    <row r="104" spans="2:8" x14ac:dyDescent="0.25">
      <c r="B104" s="37"/>
      <c r="C104" s="37"/>
      <c r="D104" s="37"/>
      <c r="E104" s="37"/>
      <c r="F104" s="37"/>
      <c r="G104" s="37"/>
      <c r="H104" s="37"/>
    </row>
    <row r="105" spans="2:8" x14ac:dyDescent="0.25">
      <c r="B105" s="51" t="s">
        <v>57</v>
      </c>
      <c r="C105" s="51"/>
      <c r="D105" s="51"/>
      <c r="E105" s="51"/>
      <c r="F105" s="51"/>
      <c r="G105" s="51"/>
    </row>
    <row r="106" spans="2:8" x14ac:dyDescent="0.25">
      <c r="B106" s="54" t="s">
        <v>58</v>
      </c>
      <c r="C106" s="54"/>
      <c r="D106" s="54"/>
      <c r="E106" s="54"/>
      <c r="F106" s="54"/>
      <c r="G106" s="54"/>
    </row>
    <row r="107" spans="2:8" x14ac:dyDescent="0.25">
      <c r="B107" s="14" t="s">
        <v>59</v>
      </c>
      <c r="C107" s="13">
        <v>2.434534404913983</v>
      </c>
      <c r="D107" s="13">
        <v>2.5499999999999998</v>
      </c>
      <c r="E107" s="13">
        <v>2.8617663043478263</v>
      </c>
      <c r="F107" s="13">
        <v>2.54</v>
      </c>
      <c r="G107" s="13">
        <f>AVERAGE(C107:F107)</f>
        <v>2.5965751773154526</v>
      </c>
    </row>
    <row r="108" spans="2:8" x14ac:dyDescent="0.25">
      <c r="B108" s="14" t="s">
        <v>60</v>
      </c>
      <c r="C108" s="13">
        <v>2.2944620305069314</v>
      </c>
      <c r="D108" s="13">
        <v>2.56</v>
      </c>
      <c r="E108" s="13">
        <v>2.7198529411764709</v>
      </c>
      <c r="F108" s="13">
        <v>2.54</v>
      </c>
      <c r="G108" s="13">
        <f>AVERAGE(C108:F108)</f>
        <v>2.5285787429208506</v>
      </c>
    </row>
    <row r="109" spans="2:8" x14ac:dyDescent="0.25">
      <c r="B109" s="14" t="s">
        <v>61</v>
      </c>
      <c r="C109" s="13">
        <v>2.1388313177157192</v>
      </c>
      <c r="D109" s="13">
        <v>2.56</v>
      </c>
      <c r="E109" s="13">
        <v>2.6186666666666669</v>
      </c>
      <c r="F109" s="13">
        <v>2.54</v>
      </c>
      <c r="G109" s="13">
        <f>AVERAGE(C109:F109)</f>
        <v>2.4643744960955964</v>
      </c>
    </row>
    <row r="110" spans="2:8" x14ac:dyDescent="0.25">
      <c r="B110" s="54" t="s">
        <v>62</v>
      </c>
      <c r="C110" s="54"/>
      <c r="D110" s="54"/>
      <c r="E110" s="54"/>
      <c r="F110" s="54"/>
      <c r="G110" s="54"/>
    </row>
    <row r="111" spans="2:8" x14ac:dyDescent="0.25">
      <c r="B111" s="14" t="s">
        <v>59</v>
      </c>
      <c r="C111" s="13">
        <v>1.561395348837209</v>
      </c>
      <c r="D111" s="13">
        <v>1.95</v>
      </c>
      <c r="E111" s="13">
        <v>1.95</v>
      </c>
      <c r="F111" s="13">
        <v>2.0699999999999998</v>
      </c>
      <c r="G111" s="13">
        <f>AVERAGE(C111:F111)</f>
        <v>1.8828488372093024</v>
      </c>
    </row>
    <row r="112" spans="2:8" x14ac:dyDescent="0.25">
      <c r="B112" s="14" t="s">
        <v>60</v>
      </c>
      <c r="C112" s="13">
        <v>1.5695406360424038</v>
      </c>
      <c r="D112" s="13">
        <v>2.09</v>
      </c>
      <c r="E112" s="13">
        <v>2</v>
      </c>
      <c r="F112" s="13">
        <v>2.0699999999999998</v>
      </c>
      <c r="G112" s="13">
        <f>AVERAGE(C112:F112)</f>
        <v>1.9323851590106007</v>
      </c>
    </row>
    <row r="113" spans="2:9" x14ac:dyDescent="0.25">
      <c r="B113" s="14" t="s">
        <v>61</v>
      </c>
      <c r="C113" s="13">
        <v>1.8038856831791064</v>
      </c>
      <c r="D113" s="13">
        <v>2.09</v>
      </c>
      <c r="E113" s="13">
        <v>2</v>
      </c>
      <c r="F113" s="13">
        <v>2.0699999999999998</v>
      </c>
      <c r="G113" s="13">
        <f>AVERAGE(C113:F113)</f>
        <v>1.9909714207947764</v>
      </c>
    </row>
    <row r="114" spans="2:9" x14ac:dyDescent="0.25">
      <c r="B114" s="37"/>
      <c r="C114" s="37"/>
      <c r="D114" s="37"/>
      <c r="E114" s="37"/>
      <c r="F114" s="37"/>
      <c r="G114" s="37"/>
      <c r="H114" s="37"/>
      <c r="I114" s="37"/>
    </row>
    <row r="115" spans="2:9" x14ac:dyDescent="0.25">
      <c r="B115" s="54" t="s">
        <v>63</v>
      </c>
      <c r="C115" s="54"/>
      <c r="D115" s="54"/>
      <c r="E115" s="54"/>
      <c r="F115" s="54"/>
      <c r="G115" s="54"/>
    </row>
    <row r="116" spans="2:9" x14ac:dyDescent="0.25">
      <c r="B116" s="14" t="s">
        <v>59</v>
      </c>
      <c r="C116" s="13">
        <v>1.4725663289918183</v>
      </c>
      <c r="D116" s="13">
        <v>1.79</v>
      </c>
      <c r="E116" s="13">
        <v>1.85</v>
      </c>
      <c r="F116" s="13">
        <v>1.79</v>
      </c>
      <c r="G116" s="13">
        <f>AVERAGE(C116:F116)</f>
        <v>1.7256415822479545</v>
      </c>
    </row>
    <row r="117" spans="2:9" x14ac:dyDescent="0.25">
      <c r="B117" s="14" t="s">
        <v>60</v>
      </c>
      <c r="C117" s="13">
        <v>1.7560277980980483</v>
      </c>
      <c r="D117" s="13">
        <v>1.79</v>
      </c>
      <c r="E117" s="13">
        <v>1.85</v>
      </c>
      <c r="F117" s="13">
        <v>1.79</v>
      </c>
      <c r="G117" s="13">
        <f>AVERAGE(C117:F117)</f>
        <v>1.7965069495245121</v>
      </c>
    </row>
    <row r="118" spans="2:9" x14ac:dyDescent="0.25">
      <c r="B118" s="14" t="s">
        <v>61</v>
      </c>
      <c r="C118" s="13">
        <v>1.6487526942711406</v>
      </c>
      <c r="D118" s="13">
        <v>1.74</v>
      </c>
      <c r="E118" s="13">
        <v>1.823313751668892</v>
      </c>
      <c r="F118" s="13">
        <v>1.74</v>
      </c>
      <c r="G118" s="13">
        <f>AVERAGE(C118:F118)</f>
        <v>1.7380166114850082</v>
      </c>
    </row>
    <row r="119" spans="2:9" x14ac:dyDescent="0.25">
      <c r="B119" s="47" t="s">
        <v>64</v>
      </c>
      <c r="C119" s="48"/>
      <c r="D119" s="48"/>
      <c r="E119" s="48"/>
      <c r="F119" s="48"/>
      <c r="G119" s="49"/>
    </row>
    <row r="120" spans="2:9" x14ac:dyDescent="0.25">
      <c r="B120" s="14" t="s">
        <v>59</v>
      </c>
      <c r="C120" s="13">
        <v>0</v>
      </c>
      <c r="D120" s="13">
        <v>1.43</v>
      </c>
      <c r="E120" s="13">
        <v>0</v>
      </c>
      <c r="F120" s="13">
        <v>1.4261538461538459</v>
      </c>
      <c r="G120" s="13">
        <f>AVERAGE(C120:F120)</f>
        <v>0.7140384615384614</v>
      </c>
    </row>
    <row r="121" spans="2:9" x14ac:dyDescent="0.25">
      <c r="B121" s="14" t="s">
        <v>60</v>
      </c>
      <c r="C121" s="13">
        <v>0</v>
      </c>
      <c r="D121" s="13">
        <v>1.43</v>
      </c>
      <c r="E121" s="13">
        <v>1.5</v>
      </c>
      <c r="F121" s="13">
        <v>1.4261538461538459</v>
      </c>
      <c r="G121" s="13">
        <f>AVERAGE(C121:F121)</f>
        <v>1.0890384615384614</v>
      </c>
    </row>
    <row r="122" spans="2:9" x14ac:dyDescent="0.25">
      <c r="B122" s="14" t="s">
        <v>61</v>
      </c>
      <c r="C122" s="13">
        <v>1.4261538461538459</v>
      </c>
      <c r="D122" s="13">
        <v>1.43</v>
      </c>
      <c r="E122" s="13">
        <v>1.52</v>
      </c>
      <c r="F122" s="13">
        <v>1.4261538461538459</v>
      </c>
      <c r="G122" s="13">
        <f>AVERAGE(C122:F122)</f>
        <v>1.450576923076923</v>
      </c>
    </row>
    <row r="123" spans="2:9" x14ac:dyDescent="0.25">
      <c r="B123" s="37"/>
      <c r="C123" s="37"/>
      <c r="D123" s="37"/>
      <c r="E123" s="37"/>
      <c r="F123" s="37"/>
      <c r="G123" s="37"/>
      <c r="H123" s="37"/>
    </row>
    <row r="124" spans="2:9" x14ac:dyDescent="0.25">
      <c r="B124" s="44" t="s">
        <v>65</v>
      </c>
      <c r="C124" s="45"/>
      <c r="D124" s="45"/>
      <c r="E124" s="45"/>
      <c r="F124" s="45"/>
      <c r="G124" s="46"/>
    </row>
    <row r="125" spans="2:9" x14ac:dyDescent="0.25">
      <c r="B125" s="2" t="s">
        <v>66</v>
      </c>
      <c r="C125" s="13">
        <v>0</v>
      </c>
      <c r="D125" s="26">
        <v>0</v>
      </c>
      <c r="E125" s="20">
        <v>0</v>
      </c>
      <c r="F125" s="20">
        <v>0</v>
      </c>
      <c r="G125" s="11">
        <f>AVERAGE(C125:F125)</f>
        <v>0</v>
      </c>
    </row>
    <row r="126" spans="2:9" x14ac:dyDescent="0.25">
      <c r="B126" s="44" t="s">
        <v>67</v>
      </c>
      <c r="C126" s="45"/>
      <c r="D126" s="45"/>
      <c r="E126" s="45"/>
      <c r="F126" s="45"/>
      <c r="G126" s="46"/>
    </row>
    <row r="127" spans="2:9" x14ac:dyDescent="0.25">
      <c r="B127" s="3" t="s">
        <v>68</v>
      </c>
      <c r="C127" s="13">
        <v>2.0099999999999998</v>
      </c>
      <c r="D127" s="30">
        <v>2.140441</v>
      </c>
      <c r="E127" s="13">
        <v>2.1050897404398561</v>
      </c>
      <c r="F127" s="13">
        <v>0</v>
      </c>
      <c r="G127" s="11">
        <f>AVERAGE(C127:E127)</f>
        <v>2.0851769134799518</v>
      </c>
    </row>
    <row r="128" spans="2:9" x14ac:dyDescent="0.25">
      <c r="B128" s="58"/>
      <c r="C128" s="58"/>
      <c r="D128" s="58"/>
      <c r="E128" s="58"/>
      <c r="F128" s="58"/>
      <c r="G128" s="58"/>
      <c r="H128" s="58"/>
    </row>
    <row r="129" spans="2:9" x14ac:dyDescent="0.25">
      <c r="B129" s="51" t="s">
        <v>69</v>
      </c>
      <c r="C129" s="51"/>
      <c r="D129" s="51"/>
      <c r="E129" s="51"/>
      <c r="F129" s="51"/>
      <c r="G129" s="51"/>
    </row>
    <row r="130" spans="2:9" x14ac:dyDescent="0.25">
      <c r="B130" s="14" t="s">
        <v>70</v>
      </c>
      <c r="C130" s="27">
        <v>263427</v>
      </c>
      <c r="D130" s="27">
        <v>3357</v>
      </c>
      <c r="E130" s="27">
        <v>6063</v>
      </c>
      <c r="F130" s="27">
        <v>750</v>
      </c>
      <c r="G130" s="27">
        <f>SUM(C130:F130)</f>
        <v>273597</v>
      </c>
    </row>
    <row r="131" spans="2:9" x14ac:dyDescent="0.25">
      <c r="B131" s="14" t="s">
        <v>71</v>
      </c>
      <c r="C131" s="27">
        <v>163906.40906100001</v>
      </c>
      <c r="D131" s="27">
        <v>3650</v>
      </c>
      <c r="E131" s="27">
        <v>739879</v>
      </c>
      <c r="F131" s="27">
        <v>807.15266199999996</v>
      </c>
      <c r="G131" s="11">
        <f>SUM(C131:F131)</f>
        <v>908242.56172300002</v>
      </c>
    </row>
    <row r="132" spans="2:9" x14ac:dyDescent="0.25">
      <c r="B132" s="37"/>
      <c r="C132" s="37"/>
      <c r="D132" s="37"/>
      <c r="E132" s="37"/>
      <c r="F132" s="37"/>
      <c r="G132" s="37"/>
      <c r="H132" s="37"/>
    </row>
    <row r="133" spans="2:9" x14ac:dyDescent="0.25">
      <c r="B133" s="51" t="s">
        <v>72</v>
      </c>
      <c r="C133" s="51"/>
      <c r="D133" s="51"/>
      <c r="E133" s="51"/>
      <c r="F133" s="51"/>
      <c r="G133" s="51"/>
    </row>
    <row r="134" spans="2:9" x14ac:dyDescent="0.25">
      <c r="B134" s="14" t="s">
        <v>73</v>
      </c>
      <c r="C134" s="27">
        <v>395161</v>
      </c>
      <c r="D134" s="27">
        <v>438517</v>
      </c>
      <c r="E134" s="27">
        <v>172429</v>
      </c>
      <c r="F134" s="27">
        <v>397833</v>
      </c>
      <c r="G134" s="27">
        <f>SUM(C134:F134)</f>
        <v>1403940</v>
      </c>
    </row>
    <row r="135" spans="2:9" x14ac:dyDescent="0.25">
      <c r="B135" s="37"/>
      <c r="C135" s="37"/>
      <c r="D135" s="37"/>
      <c r="E135" s="37"/>
      <c r="F135" s="37"/>
      <c r="G135" s="37"/>
      <c r="H135" s="37"/>
    </row>
    <row r="136" spans="2:9" ht="21" x14ac:dyDescent="0.35">
      <c r="B136" s="59" t="s">
        <v>74</v>
      </c>
      <c r="C136" s="59"/>
      <c r="D136" s="59"/>
      <c r="E136" s="59"/>
      <c r="F136" s="59"/>
      <c r="G136" s="59"/>
    </row>
    <row r="137" spans="2:9" x14ac:dyDescent="0.25">
      <c r="B137" s="51" t="s">
        <v>75</v>
      </c>
      <c r="C137" s="51"/>
      <c r="D137" s="51"/>
      <c r="E137" s="51"/>
      <c r="F137" s="51"/>
      <c r="G137" s="51"/>
    </row>
    <row r="138" spans="2:9" x14ac:dyDescent="0.25">
      <c r="B138" s="14" t="s">
        <v>76</v>
      </c>
      <c r="C138" s="27">
        <v>0</v>
      </c>
      <c r="D138" s="27">
        <v>0</v>
      </c>
      <c r="E138" s="27">
        <v>0</v>
      </c>
      <c r="F138" s="27">
        <v>14093</v>
      </c>
      <c r="G138" s="27">
        <f>SUM(C138:F138)</f>
        <v>14093</v>
      </c>
      <c r="H138" s="7"/>
      <c r="I138" s="7"/>
    </row>
    <row r="139" spans="2:9" x14ac:dyDescent="0.25">
      <c r="B139" s="14" t="s">
        <v>77</v>
      </c>
      <c r="C139" s="27">
        <v>0</v>
      </c>
      <c r="D139" s="27">
        <v>0</v>
      </c>
      <c r="E139" s="27">
        <v>0</v>
      </c>
      <c r="F139" s="27">
        <v>158</v>
      </c>
      <c r="G139" s="27">
        <f>SUM(C139:F139)</f>
        <v>158</v>
      </c>
      <c r="H139" s="7"/>
      <c r="I139" s="7"/>
    </row>
    <row r="140" spans="2:9" x14ac:dyDescent="0.25">
      <c r="B140" s="37"/>
      <c r="C140" s="37"/>
      <c r="D140" s="37"/>
      <c r="E140" s="37"/>
      <c r="F140" s="37"/>
      <c r="G140" s="37"/>
      <c r="H140" s="37"/>
      <c r="I140" s="7"/>
    </row>
    <row r="141" spans="2:9" x14ac:dyDescent="0.25">
      <c r="B141" s="37"/>
      <c r="C141" s="37"/>
      <c r="D141" s="37"/>
      <c r="E141" s="37"/>
      <c r="F141" s="37"/>
      <c r="G141" s="37"/>
      <c r="H141" s="37"/>
    </row>
    <row r="142" spans="2:9" ht="21" x14ac:dyDescent="0.35">
      <c r="B142" s="41" t="s">
        <v>78</v>
      </c>
      <c r="C142" s="42"/>
      <c r="D142" s="42"/>
      <c r="E142" s="42"/>
      <c r="F142" s="42"/>
      <c r="G142" s="43"/>
    </row>
    <row r="143" spans="2:9" x14ac:dyDescent="0.25">
      <c r="B143" s="44" t="s">
        <v>79</v>
      </c>
      <c r="C143" s="45"/>
      <c r="D143" s="45"/>
      <c r="E143" s="45"/>
      <c r="F143" s="45"/>
      <c r="G143" s="46"/>
    </row>
    <row r="144" spans="2:9" x14ac:dyDescent="0.25">
      <c r="B144" s="37"/>
      <c r="C144" s="37"/>
      <c r="D144" s="37"/>
      <c r="E144" s="37"/>
      <c r="F144" s="37"/>
      <c r="G144" s="37"/>
      <c r="H144" s="37"/>
    </row>
    <row r="145" spans="2:8" x14ac:dyDescent="0.25">
      <c r="B145" s="54" t="s">
        <v>80</v>
      </c>
      <c r="C145" s="54"/>
      <c r="D145" s="54"/>
      <c r="E145" s="54"/>
      <c r="F145" s="54"/>
      <c r="G145" s="54"/>
    </row>
    <row r="146" spans="2:8" x14ac:dyDescent="0.25">
      <c r="B146" s="14" t="s">
        <v>81</v>
      </c>
      <c r="C146" s="27">
        <v>0</v>
      </c>
      <c r="D146" s="27">
        <v>2185</v>
      </c>
      <c r="E146" s="27">
        <v>0</v>
      </c>
      <c r="F146" s="24">
        <v>1391</v>
      </c>
      <c r="G146" s="27">
        <f>SUM(C146:F146)</f>
        <v>3576</v>
      </c>
    </row>
    <row r="147" spans="2:8" x14ac:dyDescent="0.25">
      <c r="B147" s="14" t="s">
        <v>82</v>
      </c>
      <c r="C147" s="27">
        <v>0</v>
      </c>
      <c r="D147" s="27">
        <v>48.372</v>
      </c>
      <c r="E147" s="27">
        <v>0</v>
      </c>
      <c r="F147" s="24">
        <v>15.547000000000001</v>
      </c>
      <c r="G147" s="11">
        <f>SUM(C147:F147)</f>
        <v>63.918999999999997</v>
      </c>
    </row>
    <row r="148" spans="2:8" x14ac:dyDescent="0.25">
      <c r="B148" s="37"/>
      <c r="C148" s="37"/>
      <c r="D148" s="37"/>
      <c r="E148" s="37"/>
      <c r="F148" s="37"/>
      <c r="G148" s="37"/>
      <c r="H148" s="37"/>
    </row>
    <row r="149" spans="2:8" x14ac:dyDescent="0.25">
      <c r="B149" s="54" t="s">
        <v>83</v>
      </c>
      <c r="C149" s="54"/>
      <c r="D149" s="54"/>
      <c r="E149" s="54"/>
      <c r="F149" s="54"/>
      <c r="G149" s="54"/>
    </row>
    <row r="150" spans="2:8" x14ac:dyDescent="0.25">
      <c r="B150" s="14" t="s">
        <v>84</v>
      </c>
      <c r="C150" s="27">
        <v>0</v>
      </c>
      <c r="D150" s="29">
        <v>0</v>
      </c>
      <c r="E150" s="27">
        <v>0</v>
      </c>
      <c r="F150" s="27">
        <v>0</v>
      </c>
      <c r="G150" s="27">
        <f>SUM(C150:F150)</f>
        <v>0</v>
      </c>
      <c r="H150"/>
    </row>
    <row r="151" spans="2:8" x14ac:dyDescent="0.25">
      <c r="B151" s="14" t="s">
        <v>85</v>
      </c>
      <c r="C151" s="27">
        <v>0</v>
      </c>
      <c r="D151" s="29">
        <v>2.1999999999999999E-2</v>
      </c>
      <c r="E151" s="27">
        <v>0</v>
      </c>
      <c r="F151" s="27">
        <v>0</v>
      </c>
      <c r="G151" s="11">
        <f>SUM(C151:F151)</f>
        <v>2.1999999999999999E-2</v>
      </c>
      <c r="H151"/>
    </row>
    <row r="152" spans="2:8" x14ac:dyDescent="0.25">
      <c r="B152" s="37"/>
      <c r="C152" s="37"/>
      <c r="D152" s="37"/>
      <c r="E152" s="37"/>
      <c r="F152" s="37"/>
      <c r="G152" s="37"/>
      <c r="H152" s="37"/>
    </row>
    <row r="153" spans="2:8" x14ac:dyDescent="0.25">
      <c r="B153" s="54" t="s">
        <v>86</v>
      </c>
      <c r="C153" s="54"/>
      <c r="D153" s="54"/>
      <c r="E153" s="54"/>
      <c r="F153" s="54"/>
      <c r="G153" s="54"/>
    </row>
    <row r="154" spans="2:8" x14ac:dyDescent="0.25">
      <c r="B154" s="14" t="s">
        <v>87</v>
      </c>
      <c r="C154" s="27">
        <v>0</v>
      </c>
      <c r="D154" s="27">
        <v>75</v>
      </c>
      <c r="E154" s="27">
        <v>6653</v>
      </c>
      <c r="F154" s="27">
        <v>0</v>
      </c>
      <c r="G154" s="27">
        <f>SUM(C154:F154)</f>
        <v>6728</v>
      </c>
      <c r="H154"/>
    </row>
    <row r="155" spans="2:8" x14ac:dyDescent="0.25">
      <c r="B155" s="14" t="s">
        <v>88</v>
      </c>
      <c r="C155" s="27">
        <v>0</v>
      </c>
      <c r="D155" s="27">
        <v>1.19</v>
      </c>
      <c r="E155" s="27">
        <v>169.85499999999999</v>
      </c>
      <c r="F155" s="27">
        <v>0</v>
      </c>
      <c r="G155" s="11">
        <f>SUM(C155:F155)</f>
        <v>171.04499999999999</v>
      </c>
      <c r="H155"/>
    </row>
    <row r="156" spans="2:8" x14ac:dyDescent="0.25">
      <c r="B156" s="37"/>
      <c r="C156" s="37"/>
      <c r="D156" s="37"/>
      <c r="E156" s="37"/>
      <c r="F156" s="37"/>
      <c r="G156" s="37"/>
      <c r="H156" s="37"/>
    </row>
    <row r="157" spans="2:8" x14ac:dyDescent="0.25">
      <c r="B157" s="47" t="s">
        <v>89</v>
      </c>
      <c r="C157" s="48"/>
      <c r="D157" s="48"/>
      <c r="E157" s="48"/>
      <c r="F157" s="48"/>
      <c r="G157" s="49"/>
    </row>
    <row r="158" spans="2:8" x14ac:dyDescent="0.25">
      <c r="B158" s="18" t="s">
        <v>90</v>
      </c>
      <c r="C158" s="19">
        <v>0</v>
      </c>
      <c r="D158" s="19">
        <f>D146+D150+D154</f>
        <v>2260</v>
      </c>
      <c r="E158" s="19">
        <v>6653</v>
      </c>
      <c r="F158" s="19">
        <f t="shared" ref="F158:F159" si="4">+F146+F154</f>
        <v>1391</v>
      </c>
      <c r="G158" s="19">
        <f>SUM(C158:F158)</f>
        <v>10304</v>
      </c>
    </row>
    <row r="159" spans="2:8" x14ac:dyDescent="0.25">
      <c r="B159" s="18" t="s">
        <v>91</v>
      </c>
      <c r="C159" s="19">
        <v>0</v>
      </c>
      <c r="D159" s="19">
        <f>D147+D151+D155</f>
        <v>49.583999999999996</v>
      </c>
      <c r="E159" s="19">
        <v>169.85499999999999</v>
      </c>
      <c r="F159" s="19">
        <f t="shared" si="4"/>
        <v>15.547000000000001</v>
      </c>
      <c r="G159" s="22">
        <f>SUM(C159:F159)</f>
        <v>234.98599999999999</v>
      </c>
    </row>
    <row r="160" spans="2:8" x14ac:dyDescent="0.25">
      <c r="B160" s="37"/>
      <c r="C160" s="37"/>
      <c r="D160" s="37"/>
      <c r="E160" s="37"/>
      <c r="F160" s="37"/>
      <c r="G160" s="37"/>
      <c r="H160" s="37"/>
    </row>
    <row r="161" spans="2:8" x14ac:dyDescent="0.25">
      <c r="B161" s="51" t="s">
        <v>92</v>
      </c>
      <c r="C161" s="51"/>
      <c r="D161" s="51"/>
      <c r="E161" s="51"/>
      <c r="F161" s="51"/>
      <c r="G161" s="51"/>
    </row>
    <row r="162" spans="2:8" x14ac:dyDescent="0.25">
      <c r="B162" s="14" t="s">
        <v>87</v>
      </c>
      <c r="C162" s="27">
        <v>2590</v>
      </c>
      <c r="D162" s="27">
        <v>9575</v>
      </c>
      <c r="E162" s="27">
        <v>6743</v>
      </c>
      <c r="F162" s="27">
        <v>26347</v>
      </c>
      <c r="G162" s="27">
        <f>SUM(C162:F162)</f>
        <v>45255</v>
      </c>
    </row>
    <row r="163" spans="2:8" x14ac:dyDescent="0.25">
      <c r="B163" s="14" t="s">
        <v>88</v>
      </c>
      <c r="C163" s="27">
        <f>63635172/1000000</f>
        <v>63.635171999999997</v>
      </c>
      <c r="D163" s="27">
        <v>44.527000999999998</v>
      </c>
      <c r="E163" s="27">
        <v>130.89475999999999</v>
      </c>
      <c r="F163" s="27">
        <v>153.57119900000001</v>
      </c>
      <c r="G163" s="11">
        <f>SUM(C163:F163)</f>
        <v>392.62813199999999</v>
      </c>
    </row>
    <row r="164" spans="2:8" x14ac:dyDescent="0.25">
      <c r="B164" s="37"/>
      <c r="C164" s="37"/>
      <c r="D164" s="37"/>
      <c r="E164" s="37"/>
      <c r="F164" s="37"/>
      <c r="G164" s="37"/>
    </row>
    <row r="165" spans="2:8" x14ac:dyDescent="0.25">
      <c r="B165" s="44" t="s">
        <v>93</v>
      </c>
      <c r="C165" s="45"/>
      <c r="D165" s="45"/>
      <c r="E165" s="45"/>
      <c r="F165" s="45"/>
      <c r="G165" s="46"/>
    </row>
    <row r="166" spans="2:8" x14ac:dyDescent="0.25">
      <c r="B166" s="47" t="s">
        <v>94</v>
      </c>
      <c r="C166" s="48"/>
      <c r="D166" s="48"/>
      <c r="E166" s="48"/>
      <c r="F166" s="48"/>
      <c r="G166" s="49"/>
    </row>
    <row r="167" spans="2:8" x14ac:dyDescent="0.25">
      <c r="B167" s="14" t="s">
        <v>95</v>
      </c>
      <c r="C167" s="27">
        <v>924</v>
      </c>
      <c r="D167" s="27">
        <v>2537</v>
      </c>
      <c r="E167" s="27">
        <v>88</v>
      </c>
      <c r="F167" s="27">
        <v>529</v>
      </c>
      <c r="G167" s="27">
        <f>SUM(C167:F167)</f>
        <v>4078</v>
      </c>
    </row>
    <row r="168" spans="2:8" x14ac:dyDescent="0.25">
      <c r="B168" s="14" t="s">
        <v>96</v>
      </c>
      <c r="C168" s="27">
        <f>32340000/1000000</f>
        <v>32.340000000000003</v>
      </c>
      <c r="D168" s="27">
        <v>54.545000000000002</v>
      </c>
      <c r="E168" s="27">
        <v>5.0999999999999996</v>
      </c>
      <c r="F168" s="27">
        <v>18.645</v>
      </c>
      <c r="G168" s="11">
        <f>SUM(C168:F168)</f>
        <v>110.63</v>
      </c>
    </row>
    <row r="169" spans="2:8" x14ac:dyDescent="0.25">
      <c r="B169" s="37"/>
      <c r="C169" s="37"/>
      <c r="D169" s="37"/>
      <c r="E169" s="37"/>
      <c r="F169" s="37"/>
      <c r="G169" s="37"/>
    </row>
    <row r="170" spans="2:8" x14ac:dyDescent="0.25">
      <c r="B170" s="47" t="s">
        <v>97</v>
      </c>
      <c r="C170" s="48"/>
      <c r="D170" s="48"/>
      <c r="E170" s="48"/>
      <c r="F170" s="48"/>
      <c r="G170" s="49"/>
    </row>
    <row r="171" spans="2:8" x14ac:dyDescent="0.25">
      <c r="B171" s="14" t="s">
        <v>98</v>
      </c>
      <c r="C171" s="27">
        <v>1409</v>
      </c>
      <c r="D171" s="27">
        <v>214</v>
      </c>
      <c r="E171" s="27">
        <v>70</v>
      </c>
      <c r="F171" s="27">
        <v>392</v>
      </c>
      <c r="G171" s="27">
        <f>SUM(C171:F171)</f>
        <v>2085</v>
      </c>
    </row>
    <row r="172" spans="2:8" x14ac:dyDescent="0.25">
      <c r="B172" s="14" t="s">
        <v>96</v>
      </c>
      <c r="C172" s="27">
        <f>49315000/1000000</f>
        <v>49.314999999999998</v>
      </c>
      <c r="D172" s="27">
        <v>4.4939999999999998</v>
      </c>
      <c r="E172" s="27">
        <v>1.8</v>
      </c>
      <c r="F172" s="27">
        <v>9.782</v>
      </c>
      <c r="G172" s="11">
        <f>SUM(C172:F172)</f>
        <v>65.390999999999991</v>
      </c>
    </row>
    <row r="173" spans="2:8" x14ac:dyDescent="0.25">
      <c r="B173" s="37"/>
      <c r="C173" s="37"/>
      <c r="D173" s="37"/>
      <c r="E173" s="37"/>
      <c r="F173" s="37"/>
      <c r="G173" s="37"/>
      <c r="H173" s="37"/>
    </row>
    <row r="174" spans="2:8" x14ac:dyDescent="0.25">
      <c r="B174" s="47" t="s">
        <v>99</v>
      </c>
      <c r="C174" s="48"/>
      <c r="D174" s="48"/>
      <c r="E174" s="48"/>
      <c r="F174" s="48"/>
      <c r="G174" s="49"/>
    </row>
    <row r="175" spans="2:8" x14ac:dyDescent="0.25">
      <c r="B175" s="14" t="s">
        <v>98</v>
      </c>
      <c r="C175" s="27">
        <v>199</v>
      </c>
      <c r="D175" s="27">
        <v>302</v>
      </c>
      <c r="E175" s="27">
        <v>188</v>
      </c>
      <c r="F175" s="27">
        <v>43</v>
      </c>
      <c r="G175" s="27">
        <f>SUM(C175:F175)</f>
        <v>732</v>
      </c>
    </row>
    <row r="176" spans="2:8" x14ac:dyDescent="0.25">
      <c r="B176" s="14" t="s">
        <v>96</v>
      </c>
      <c r="C176" s="27">
        <f>20540000/1000000</f>
        <v>20.54</v>
      </c>
      <c r="D176" s="27">
        <v>31.36</v>
      </c>
      <c r="E176" s="27">
        <v>10.15</v>
      </c>
      <c r="F176" s="27">
        <v>4.6449999999999996</v>
      </c>
      <c r="G176" s="11">
        <f>SUM(C176:F176)</f>
        <v>66.694999999999993</v>
      </c>
    </row>
    <row r="177" spans="2:8" x14ac:dyDescent="0.25">
      <c r="B177" s="37"/>
      <c r="C177" s="37"/>
      <c r="D177" s="37"/>
      <c r="E177" s="37"/>
      <c r="F177" s="37"/>
      <c r="G177" s="37"/>
      <c r="H177" s="37"/>
    </row>
    <row r="178" spans="2:8" x14ac:dyDescent="0.25">
      <c r="B178" s="47" t="s">
        <v>100</v>
      </c>
      <c r="C178" s="48"/>
      <c r="D178" s="48"/>
      <c r="E178" s="48"/>
      <c r="F178" s="48"/>
      <c r="G178" s="49"/>
    </row>
    <row r="179" spans="2:8" x14ac:dyDescent="0.25">
      <c r="B179" s="14" t="s">
        <v>98</v>
      </c>
      <c r="C179" s="27">
        <v>292</v>
      </c>
      <c r="D179" s="27">
        <v>82</v>
      </c>
      <c r="E179" s="27">
        <v>0</v>
      </c>
      <c r="F179" s="27">
        <v>0</v>
      </c>
      <c r="G179" s="27">
        <f>SUM(C179:F179)</f>
        <v>374</v>
      </c>
    </row>
    <row r="180" spans="2:8" x14ac:dyDescent="0.25">
      <c r="B180" s="14" t="s">
        <v>96</v>
      </c>
      <c r="C180" s="27">
        <f>11785000/1000000</f>
        <v>11.785</v>
      </c>
      <c r="D180" s="27">
        <v>8.0078770000000006</v>
      </c>
      <c r="E180" s="27">
        <v>0</v>
      </c>
      <c r="F180" s="27">
        <v>0</v>
      </c>
      <c r="G180" s="11">
        <f>SUM(C180:F180)</f>
        <v>19.792877000000001</v>
      </c>
    </row>
    <row r="181" spans="2:8" x14ac:dyDescent="0.25">
      <c r="B181" s="37"/>
      <c r="C181" s="37"/>
      <c r="D181" s="37"/>
      <c r="E181" s="37"/>
      <c r="F181" s="37"/>
      <c r="G181" s="37"/>
      <c r="H181" s="37"/>
    </row>
    <row r="182" spans="2:8" x14ac:dyDescent="0.25">
      <c r="B182" s="51" t="s">
        <v>101</v>
      </c>
      <c r="C182" s="51"/>
      <c r="D182" s="51"/>
      <c r="E182" s="51"/>
      <c r="F182" s="51"/>
      <c r="G182" s="51"/>
    </row>
    <row r="183" spans="2:8" x14ac:dyDescent="0.25">
      <c r="B183" s="18" t="s">
        <v>102</v>
      </c>
      <c r="C183" s="19">
        <f>+C179+C175+C171+C167</f>
        <v>2824</v>
      </c>
      <c r="D183" s="19">
        <f>D167+D171+D175+D179</f>
        <v>3135</v>
      </c>
      <c r="E183" s="19">
        <v>346</v>
      </c>
      <c r="F183" s="19">
        <f>+F179+F175+F171+F167</f>
        <v>964</v>
      </c>
      <c r="G183" s="19">
        <f>SUM(C183:F183)</f>
        <v>7269</v>
      </c>
    </row>
    <row r="184" spans="2:8" x14ac:dyDescent="0.25">
      <c r="B184" s="18" t="s">
        <v>103</v>
      </c>
      <c r="C184" s="19">
        <f>+C180+C176+C172+C168</f>
        <v>113.98</v>
      </c>
      <c r="D184" s="19">
        <f>D168+D172+D176+D180</f>
        <v>98.406877000000009</v>
      </c>
      <c r="E184" s="19">
        <v>17.05</v>
      </c>
      <c r="F184" s="19">
        <f>+F180+F176+F172+F168</f>
        <v>33.072000000000003</v>
      </c>
      <c r="G184" s="22">
        <f>SUM(C184:F184)</f>
        <v>262.50887700000004</v>
      </c>
    </row>
    <row r="185" spans="2:8" x14ac:dyDescent="0.25">
      <c r="B185" s="37"/>
      <c r="C185" s="37"/>
      <c r="D185" s="37"/>
      <c r="E185" s="37"/>
      <c r="F185" s="37"/>
      <c r="G185" s="37"/>
      <c r="H185" s="37"/>
    </row>
    <row r="186" spans="2:8" x14ac:dyDescent="0.25">
      <c r="B186" s="51" t="s">
        <v>104</v>
      </c>
      <c r="C186" s="51"/>
      <c r="D186" s="51"/>
      <c r="E186" s="51"/>
      <c r="F186" s="51"/>
      <c r="G186" s="51"/>
    </row>
    <row r="187" spans="2:8" x14ac:dyDescent="0.25">
      <c r="B187" s="14" t="s">
        <v>105</v>
      </c>
      <c r="C187" s="27">
        <v>6748</v>
      </c>
      <c r="D187" s="27">
        <v>0</v>
      </c>
      <c r="E187" s="27">
        <v>105</v>
      </c>
      <c r="F187" s="27">
        <f>F166+F171+F175+F179+F162</f>
        <v>26782</v>
      </c>
      <c r="G187" s="27">
        <f>SUM(C187:F187)</f>
        <v>33635</v>
      </c>
    </row>
    <row r="188" spans="2:8" x14ac:dyDescent="0.25">
      <c r="B188" s="14" t="s">
        <v>106</v>
      </c>
      <c r="C188" s="27">
        <f>84118669/1000000</f>
        <v>84.118668999999997</v>
      </c>
      <c r="D188" s="27">
        <v>0</v>
      </c>
      <c r="E188" s="27">
        <v>5.0999999999999996</v>
      </c>
      <c r="F188" s="27">
        <f>F167+F172+F176+F180+F163</f>
        <v>696.998199</v>
      </c>
      <c r="G188" s="11">
        <f>SUM(C188:F188)</f>
        <v>786.21686799999998</v>
      </c>
    </row>
    <row r="189" spans="2:8" x14ac:dyDescent="0.25">
      <c r="B189" s="37"/>
      <c r="C189" s="37"/>
      <c r="D189" s="37"/>
      <c r="E189" s="37"/>
      <c r="F189" s="37"/>
      <c r="G189" s="37"/>
      <c r="H189" s="37"/>
    </row>
    <row r="190" spans="2:8" x14ac:dyDescent="0.25">
      <c r="B190" s="51" t="s">
        <v>107</v>
      </c>
      <c r="C190" s="51"/>
      <c r="D190" s="51"/>
      <c r="E190" s="51"/>
      <c r="F190" s="51"/>
      <c r="G190" s="51"/>
    </row>
    <row r="191" spans="2:8" x14ac:dyDescent="0.25">
      <c r="B191" s="18" t="s">
        <v>108</v>
      </c>
      <c r="C191" s="19">
        <f>C187+C162+C183</f>
        <v>12162</v>
      </c>
      <c r="D191" s="19">
        <f>+D187+D183+D162+D158</f>
        <v>14970</v>
      </c>
      <c r="E191" s="19">
        <v>7194</v>
      </c>
      <c r="F191" s="19">
        <f>F158+F162+F183+F187</f>
        <v>55484</v>
      </c>
      <c r="G191" s="19">
        <f>SUM(C191:F191)</f>
        <v>89810</v>
      </c>
    </row>
    <row r="192" spans="2:8" x14ac:dyDescent="0.25">
      <c r="B192" s="18" t="s">
        <v>109</v>
      </c>
      <c r="C192" s="19">
        <f>C188+C163+C184</f>
        <v>261.73384099999998</v>
      </c>
      <c r="D192" s="19">
        <f>+D188+D184+D163+D159</f>
        <v>192.517878</v>
      </c>
      <c r="E192" s="19">
        <v>153.04476</v>
      </c>
      <c r="F192" s="19">
        <f>F159+F184+F163+F188</f>
        <v>899.18839800000001</v>
      </c>
      <c r="G192" s="22">
        <f>SUM(C192:F192)</f>
        <v>1506.4848769999999</v>
      </c>
    </row>
    <row r="193" spans="3:7" s="1" customFormat="1" x14ac:dyDescent="0.25">
      <c r="G193" s="7"/>
    </row>
    <row r="194" spans="3:7" s="1" customFormat="1" x14ac:dyDescent="0.25">
      <c r="C194" s="7"/>
      <c r="G194" s="7"/>
    </row>
    <row r="195" spans="3:7" s="1" customFormat="1" x14ac:dyDescent="0.25">
      <c r="G195" s="7"/>
    </row>
    <row r="196" spans="3:7" s="1" customFormat="1" x14ac:dyDescent="0.25">
      <c r="C196" s="8"/>
      <c r="G196" s="7"/>
    </row>
  </sheetData>
  <mergeCells count="80">
    <mergeCell ref="B189:H189"/>
    <mergeCell ref="B190:G190"/>
    <mergeCell ref="B177:H177"/>
    <mergeCell ref="B178:G178"/>
    <mergeCell ref="B181:H181"/>
    <mergeCell ref="B182:G182"/>
    <mergeCell ref="B185:H185"/>
    <mergeCell ref="B186:G186"/>
    <mergeCell ref="B174:G174"/>
    <mergeCell ref="B153:G153"/>
    <mergeCell ref="B156:H156"/>
    <mergeCell ref="B157:G157"/>
    <mergeCell ref="B160:H160"/>
    <mergeCell ref="B161:G161"/>
    <mergeCell ref="B164:G164"/>
    <mergeCell ref="B165:G165"/>
    <mergeCell ref="B166:G166"/>
    <mergeCell ref="B169:G169"/>
    <mergeCell ref="B170:G170"/>
    <mergeCell ref="B173:H173"/>
    <mergeCell ref="B152:H152"/>
    <mergeCell ref="B135:H135"/>
    <mergeCell ref="B136:G136"/>
    <mergeCell ref="B137:G137"/>
    <mergeCell ref="B140:H140"/>
    <mergeCell ref="B141:H141"/>
    <mergeCell ref="B142:G142"/>
    <mergeCell ref="B143:G143"/>
    <mergeCell ref="B144:H144"/>
    <mergeCell ref="B145:G145"/>
    <mergeCell ref="B148:H148"/>
    <mergeCell ref="B149:G149"/>
    <mergeCell ref="B133:G133"/>
    <mergeCell ref="B106:G106"/>
    <mergeCell ref="B110:G110"/>
    <mergeCell ref="B114:I114"/>
    <mergeCell ref="B115:G115"/>
    <mergeCell ref="B119:G119"/>
    <mergeCell ref="B123:H123"/>
    <mergeCell ref="B124:G124"/>
    <mergeCell ref="B126:G126"/>
    <mergeCell ref="B128:H128"/>
    <mergeCell ref="B129:G129"/>
    <mergeCell ref="B132:H132"/>
    <mergeCell ref="B105:G105"/>
    <mergeCell ref="B54:G54"/>
    <mergeCell ref="B60:G60"/>
    <mergeCell ref="B66:G66"/>
    <mergeCell ref="B72:G72"/>
    <mergeCell ref="B78:H78"/>
    <mergeCell ref="B79:G79"/>
    <mergeCell ref="B80:G80"/>
    <mergeCell ref="B86:G86"/>
    <mergeCell ref="B92:G92"/>
    <mergeCell ref="B98:G98"/>
    <mergeCell ref="B104:H104"/>
    <mergeCell ref="B53:G53"/>
    <mergeCell ref="B32:G32"/>
    <mergeCell ref="B36:G36"/>
    <mergeCell ref="B38:G38"/>
    <mergeCell ref="B39:G39"/>
    <mergeCell ref="B42:H42"/>
    <mergeCell ref="B43:G43"/>
    <mergeCell ref="B46:H46"/>
    <mergeCell ref="B47:G47"/>
    <mergeCell ref="B50:H50"/>
    <mergeCell ref="B51:G51"/>
    <mergeCell ref="B52:H52"/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46696-4E4B-4555-BAF9-D0DFF3A838CD}">
  <dimension ref="A1:BD196"/>
  <sheetViews>
    <sheetView tabSelected="1" topLeftCell="B1" zoomScaleNormal="100" workbookViewId="0">
      <selection activeCell="C6" sqref="C6"/>
    </sheetView>
  </sheetViews>
  <sheetFormatPr baseColWidth="10" defaultColWidth="53.140625" defaultRowHeight="15" x14ac:dyDescent="0.25"/>
  <cols>
    <col min="1" max="1" width="1.42578125" style="1" bestFit="1" customWidth="1"/>
    <col min="2" max="2" width="53.28515625" bestFit="1" customWidth="1"/>
    <col min="3" max="3" width="17.42578125" bestFit="1" customWidth="1"/>
    <col min="4" max="4" width="16.42578125" bestFit="1" customWidth="1"/>
    <col min="5" max="6" width="14.7109375" bestFit="1" customWidth="1"/>
    <col min="7" max="7" width="16.42578125" style="7" bestFit="1" customWidth="1"/>
    <col min="8" max="56" width="53.140625" style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38" t="s">
        <v>1</v>
      </c>
      <c r="D2" s="39"/>
      <c r="E2" s="39"/>
      <c r="F2" s="39"/>
      <c r="G2" s="40"/>
    </row>
    <row r="3" spans="1:7" ht="21" x14ac:dyDescent="0.35">
      <c r="B3" s="1"/>
      <c r="C3" s="5" t="s">
        <v>2</v>
      </c>
      <c r="D3" s="5" t="s">
        <v>3</v>
      </c>
      <c r="E3" s="6" t="s">
        <v>4</v>
      </c>
      <c r="F3" s="5" t="s">
        <v>5</v>
      </c>
      <c r="G3" s="15" t="s">
        <v>6</v>
      </c>
    </row>
    <row r="4" spans="1:7" ht="21" x14ac:dyDescent="0.35">
      <c r="B4" s="41" t="s">
        <v>7</v>
      </c>
      <c r="C4" s="42"/>
      <c r="D4" s="42"/>
      <c r="E4" s="42"/>
      <c r="F4" s="42"/>
      <c r="G4" s="43"/>
    </row>
    <row r="5" spans="1:7" x14ac:dyDescent="0.25">
      <c r="B5" s="44" t="s">
        <v>8</v>
      </c>
      <c r="C5" s="45"/>
      <c r="D5" s="45"/>
      <c r="E5" s="45"/>
      <c r="F5" s="45"/>
      <c r="G5" s="46"/>
    </row>
    <row r="6" spans="1:7" x14ac:dyDescent="0.25">
      <c r="B6" s="4" t="s">
        <v>9</v>
      </c>
      <c r="C6" s="12">
        <v>54123</v>
      </c>
      <c r="D6" s="12">
        <v>8208</v>
      </c>
      <c r="E6" s="12">
        <v>7498</v>
      </c>
      <c r="F6" s="12">
        <v>9079</v>
      </c>
      <c r="G6" s="12">
        <f>+F6+E6+D6+C6</f>
        <v>78908</v>
      </c>
    </row>
    <row r="7" spans="1:7" x14ac:dyDescent="0.25">
      <c r="B7" s="14" t="s">
        <v>10</v>
      </c>
      <c r="C7" s="12">
        <v>567</v>
      </c>
      <c r="D7" s="12">
        <v>291</v>
      </c>
      <c r="E7" s="12">
        <v>23</v>
      </c>
      <c r="F7" s="12">
        <v>130</v>
      </c>
      <c r="G7" s="12">
        <f>+F7+E7+D7+C7</f>
        <v>1011</v>
      </c>
    </row>
    <row r="8" spans="1:7" x14ac:dyDescent="0.25">
      <c r="B8" s="18" t="s">
        <v>11</v>
      </c>
      <c r="C8" s="25">
        <f>SUM(C6:C7)</f>
        <v>54690</v>
      </c>
      <c r="D8" s="25">
        <f>+D6+D7</f>
        <v>8499</v>
      </c>
      <c r="E8" s="25">
        <v>7521</v>
      </c>
      <c r="F8" s="25">
        <v>9209</v>
      </c>
      <c r="G8" s="25">
        <f>+F8+E8+D8+C8</f>
        <v>79919</v>
      </c>
    </row>
    <row r="9" spans="1:7" x14ac:dyDescent="0.25">
      <c r="B9" s="37"/>
      <c r="C9" s="37"/>
      <c r="D9" s="37"/>
      <c r="E9" s="37"/>
      <c r="F9" s="37"/>
      <c r="G9" s="37"/>
    </row>
    <row r="10" spans="1:7" x14ac:dyDescent="0.25">
      <c r="B10" s="44" t="s">
        <v>12</v>
      </c>
      <c r="C10" s="45"/>
      <c r="D10" s="45"/>
      <c r="E10" s="45"/>
      <c r="F10" s="45"/>
      <c r="G10" s="46"/>
    </row>
    <row r="11" spans="1:7" x14ac:dyDescent="0.25">
      <c r="B11" s="47" t="s">
        <v>13</v>
      </c>
      <c r="C11" s="48"/>
      <c r="D11" s="48"/>
      <c r="E11" s="48"/>
      <c r="F11" s="48"/>
      <c r="G11" s="49"/>
    </row>
    <row r="12" spans="1:7" x14ac:dyDescent="0.25">
      <c r="B12" s="16" t="s">
        <v>14</v>
      </c>
      <c r="C12" s="17">
        <v>720153</v>
      </c>
      <c r="D12" s="17">
        <v>87323</v>
      </c>
      <c r="E12" s="17">
        <v>33938</v>
      </c>
      <c r="F12" s="17">
        <v>0</v>
      </c>
      <c r="G12" s="17">
        <f>SUM(C12:F12)</f>
        <v>841414</v>
      </c>
    </row>
    <row r="13" spans="1:7" x14ac:dyDescent="0.25">
      <c r="B13" s="16" t="s">
        <v>15</v>
      </c>
      <c r="C13" s="17">
        <v>2593370</v>
      </c>
      <c r="D13" s="17">
        <v>542279</v>
      </c>
      <c r="E13" s="17">
        <v>221802</v>
      </c>
      <c r="F13" s="17">
        <v>0</v>
      </c>
      <c r="G13" s="17">
        <f>SUM(C13:F13)</f>
        <v>3357451</v>
      </c>
    </row>
    <row r="14" spans="1:7" x14ac:dyDescent="0.25">
      <c r="B14" s="18" t="s">
        <v>16</v>
      </c>
      <c r="C14" s="19">
        <f>C13+C12</f>
        <v>3313523</v>
      </c>
      <c r="D14" s="19">
        <v>906557</v>
      </c>
      <c r="E14" s="19">
        <v>255740</v>
      </c>
      <c r="F14" s="19">
        <v>332047</v>
      </c>
      <c r="G14" s="19">
        <f>SUM(C14:F14)</f>
        <v>4807867</v>
      </c>
    </row>
    <row r="15" spans="1:7" x14ac:dyDescent="0.25">
      <c r="B15" s="18" t="s">
        <v>17</v>
      </c>
      <c r="C15" s="19">
        <v>566042</v>
      </c>
      <c r="D15" s="19">
        <v>229427</v>
      </c>
      <c r="E15" s="19">
        <v>3724</v>
      </c>
      <c r="F15" s="19">
        <v>150428</v>
      </c>
      <c r="G15" s="19">
        <f>SUM(C15:F15)</f>
        <v>949621</v>
      </c>
    </row>
    <row r="16" spans="1:7" x14ac:dyDescent="0.25">
      <c r="B16" s="18" t="s">
        <v>18</v>
      </c>
      <c r="C16" s="19">
        <f>C15+C14</f>
        <v>3879565</v>
      </c>
      <c r="D16" s="19">
        <f>+D14+D15</f>
        <v>1135984</v>
      </c>
      <c r="E16" s="19">
        <v>259464</v>
      </c>
      <c r="F16" s="19">
        <v>482475</v>
      </c>
      <c r="G16" s="19">
        <f>SUM(C16:F16)</f>
        <v>5757488</v>
      </c>
    </row>
    <row r="17" spans="2:8" x14ac:dyDescent="0.25">
      <c r="B17" s="37"/>
      <c r="C17" s="37"/>
      <c r="D17" s="37"/>
      <c r="E17" s="37"/>
      <c r="F17" s="37"/>
      <c r="G17" s="37"/>
    </row>
    <row r="18" spans="2:8" x14ac:dyDescent="0.25">
      <c r="B18" s="47" t="s">
        <v>19</v>
      </c>
      <c r="C18" s="48"/>
      <c r="D18" s="48"/>
      <c r="E18" s="48"/>
      <c r="F18" s="48"/>
      <c r="G18" s="49"/>
    </row>
    <row r="19" spans="2:8" x14ac:dyDescent="0.25">
      <c r="B19" s="14" t="s">
        <v>20</v>
      </c>
      <c r="C19" s="27">
        <v>464</v>
      </c>
      <c r="D19" s="27">
        <v>2</v>
      </c>
      <c r="E19" s="27">
        <v>0</v>
      </c>
      <c r="F19" s="27">
        <v>0</v>
      </c>
      <c r="G19" s="27">
        <f>SUM(C19:F19)</f>
        <v>466</v>
      </c>
    </row>
    <row r="20" spans="2:8" x14ac:dyDescent="0.25">
      <c r="B20" s="50"/>
      <c r="C20" s="50"/>
      <c r="D20" s="50"/>
      <c r="E20" s="50"/>
      <c r="F20" s="50"/>
      <c r="G20" s="50"/>
    </row>
    <row r="21" spans="2:8" x14ac:dyDescent="0.25">
      <c r="B21" s="18" t="s">
        <v>21</v>
      </c>
      <c r="C21" s="19">
        <f>+C16+C19</f>
        <v>3880029</v>
      </c>
      <c r="D21" s="19">
        <v>1135986</v>
      </c>
      <c r="E21" s="19">
        <f>+E16</f>
        <v>259464</v>
      </c>
      <c r="F21" s="19">
        <f>F16</f>
        <v>482475</v>
      </c>
      <c r="G21" s="19">
        <f>SUM(C21:F21)</f>
        <v>5757954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19">
        <v>414452</v>
      </c>
      <c r="D24" s="19">
        <v>235368</v>
      </c>
      <c r="E24" s="19">
        <v>180914</v>
      </c>
      <c r="F24" s="19">
        <v>636078</v>
      </c>
      <c r="G24" s="19">
        <f>SUM(C24:F24)</f>
        <v>1466812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19">
        <f>+C24+C21</f>
        <v>4294481</v>
      </c>
      <c r="D27" s="19">
        <f>+D24+D21</f>
        <v>1371354</v>
      </c>
      <c r="E27" s="19">
        <f>+E24+E21</f>
        <v>440378</v>
      </c>
      <c r="F27" s="19">
        <v>1118553</v>
      </c>
      <c r="G27" s="19">
        <f>SUM(C27:F27)</f>
        <v>7224766</v>
      </c>
    </row>
    <row r="28" spans="2:8" x14ac:dyDescent="0.25">
      <c r="B28" s="37"/>
      <c r="C28" s="37"/>
      <c r="D28" s="37"/>
      <c r="E28" s="37"/>
      <c r="F28" s="37"/>
      <c r="G28" s="37"/>
      <c r="H28" s="37"/>
    </row>
    <row r="29" spans="2:8" x14ac:dyDescent="0.25">
      <c r="B29" s="44" t="s">
        <v>26</v>
      </c>
      <c r="C29" s="45"/>
      <c r="D29" s="45"/>
      <c r="E29" s="45"/>
      <c r="F29" s="45"/>
      <c r="G29" s="46"/>
    </row>
    <row r="30" spans="2:8" x14ac:dyDescent="0.25">
      <c r="B30" s="14" t="s">
        <v>27</v>
      </c>
      <c r="C30" s="27">
        <v>1188271</v>
      </c>
      <c r="D30" s="27">
        <v>109792</v>
      </c>
      <c r="E30" s="27">
        <v>65114</v>
      </c>
      <c r="F30" s="27">
        <v>169825</v>
      </c>
      <c r="G30" s="27">
        <f>SUM(C30:F30)</f>
        <v>1533002</v>
      </c>
    </row>
    <row r="31" spans="2:8" x14ac:dyDescent="0.25">
      <c r="B31" s="37"/>
      <c r="C31" s="37"/>
      <c r="D31" s="37"/>
      <c r="E31" s="37"/>
      <c r="F31" s="37"/>
      <c r="G31" s="37"/>
      <c r="H31" s="37"/>
    </row>
    <row r="32" spans="2:8" x14ac:dyDescent="0.25">
      <c r="B32" s="44" t="s">
        <v>28</v>
      </c>
      <c r="C32" s="45"/>
      <c r="D32" s="45"/>
      <c r="E32" s="45"/>
      <c r="F32" s="45"/>
      <c r="G32" s="46"/>
    </row>
    <row r="33" spans="2:9" x14ac:dyDescent="0.25">
      <c r="B33" s="14" t="s">
        <v>29</v>
      </c>
      <c r="C33" s="27">
        <v>4836858058059</v>
      </c>
      <c r="D33" s="27">
        <v>736204885297</v>
      </c>
      <c r="E33" s="27">
        <v>273600299135</v>
      </c>
      <c r="F33" s="27">
        <v>537197595269</v>
      </c>
      <c r="G33" s="27">
        <f>SUM(C33:F33)</f>
        <v>6383860837760</v>
      </c>
    </row>
    <row r="34" spans="2:9" x14ac:dyDescent="0.25">
      <c r="B34" s="14" t="s">
        <v>30</v>
      </c>
      <c r="C34" s="27">
        <v>225611690642</v>
      </c>
      <c r="D34" s="27">
        <v>97510762406</v>
      </c>
      <c r="E34" s="27">
        <v>67810955000</v>
      </c>
      <c r="F34" s="27">
        <v>231098932030</v>
      </c>
      <c r="G34" s="27">
        <f>SUM(C34:F34)</f>
        <v>622032340078</v>
      </c>
    </row>
    <row r="35" spans="2:9" x14ac:dyDescent="0.25">
      <c r="B35" s="32" t="s">
        <v>31</v>
      </c>
      <c r="C35" s="33">
        <f>SUM(C33:C34)</f>
        <v>5062469748701</v>
      </c>
      <c r="D35" s="33">
        <f>+D34+D33</f>
        <v>833715647703</v>
      </c>
      <c r="E35" s="33">
        <v>341411254135</v>
      </c>
      <c r="F35" s="33">
        <v>768296527299</v>
      </c>
      <c r="G35" s="33">
        <f>SUM(C35:F35)</f>
        <v>7005893177838</v>
      </c>
    </row>
    <row r="36" spans="2:9" x14ac:dyDescent="0.25">
      <c r="B36" s="52" t="s">
        <v>32</v>
      </c>
      <c r="C36" s="52"/>
      <c r="D36" s="52"/>
      <c r="E36" s="52"/>
      <c r="F36" s="52"/>
      <c r="G36" s="52"/>
      <c r="H36"/>
    </row>
    <row r="37" spans="2:9" x14ac:dyDescent="0.25">
      <c r="B37" s="31"/>
      <c r="C37" s="31"/>
      <c r="D37" s="31"/>
      <c r="E37" s="31"/>
      <c r="F37" s="31"/>
      <c r="G37" s="31"/>
      <c r="H37" s="31"/>
    </row>
    <row r="38" spans="2:9" ht="21" x14ac:dyDescent="0.35">
      <c r="B38" s="41" t="s">
        <v>33</v>
      </c>
      <c r="C38" s="42"/>
      <c r="D38" s="42"/>
      <c r="E38" s="42"/>
      <c r="F38" s="42"/>
      <c r="G38" s="43"/>
    </row>
    <row r="39" spans="2:9" x14ac:dyDescent="0.25">
      <c r="B39" s="44" t="s">
        <v>34</v>
      </c>
      <c r="C39" s="45"/>
      <c r="D39" s="45"/>
      <c r="E39" s="45"/>
      <c r="F39" s="45"/>
      <c r="G39" s="46"/>
    </row>
    <row r="40" spans="2:9" x14ac:dyDescent="0.25">
      <c r="B40" s="14" t="s">
        <v>35</v>
      </c>
      <c r="C40" s="27">
        <v>601173</v>
      </c>
      <c r="D40" s="27">
        <v>97386</v>
      </c>
      <c r="E40" s="27">
        <v>42793</v>
      </c>
      <c r="F40" s="27">
        <v>55893</v>
      </c>
      <c r="G40" s="27">
        <f>SUM(C40:F40)</f>
        <v>797245</v>
      </c>
      <c r="H40" s="7"/>
      <c r="I40" s="7"/>
    </row>
    <row r="41" spans="2:9" x14ac:dyDescent="0.25">
      <c r="B41" s="14" t="s">
        <v>36</v>
      </c>
      <c r="C41" s="27">
        <f>3891801462 /1000000</f>
        <v>3891.8014619999999</v>
      </c>
      <c r="D41" s="27">
        <v>1088.5151000000001</v>
      </c>
      <c r="E41" s="27">
        <v>468.3</v>
      </c>
      <c r="F41" s="27">
        <v>582.13556000000005</v>
      </c>
      <c r="G41" s="11">
        <f>SUM(C41:F41)</f>
        <v>6030.7521219999999</v>
      </c>
      <c r="H41" s="7"/>
      <c r="I41" s="7"/>
    </row>
    <row r="42" spans="2:9" x14ac:dyDescent="0.25">
      <c r="B42" s="37"/>
      <c r="C42" s="37"/>
      <c r="D42" s="37"/>
      <c r="E42" s="37"/>
      <c r="F42" s="37"/>
      <c r="G42" s="37"/>
      <c r="H42" s="37"/>
      <c r="I42" s="7"/>
    </row>
    <row r="43" spans="2:9" x14ac:dyDescent="0.25">
      <c r="B43" s="51" t="s">
        <v>37</v>
      </c>
      <c r="C43" s="51"/>
      <c r="D43" s="51"/>
      <c r="E43" s="51"/>
      <c r="F43" s="51"/>
      <c r="G43" s="51"/>
      <c r="I43" s="7"/>
    </row>
    <row r="44" spans="2:9" x14ac:dyDescent="0.25">
      <c r="B44" s="14" t="s">
        <v>38</v>
      </c>
      <c r="C44" s="27">
        <v>3</v>
      </c>
      <c r="D44" s="27">
        <v>2</v>
      </c>
      <c r="E44" s="27">
        <v>2</v>
      </c>
      <c r="F44" s="27">
        <v>0</v>
      </c>
      <c r="G44" s="27">
        <f>SUM(C44:F44)</f>
        <v>7</v>
      </c>
      <c r="H44" s="7"/>
      <c r="I44" s="7"/>
    </row>
    <row r="45" spans="2:9" x14ac:dyDescent="0.25">
      <c r="B45" s="14" t="s">
        <v>39</v>
      </c>
      <c r="C45" s="27">
        <f>4728465 /1000000</f>
        <v>4.7284649999999999</v>
      </c>
      <c r="D45" s="27">
        <v>2.8898E-2</v>
      </c>
      <c r="E45" s="27">
        <v>0.02</v>
      </c>
      <c r="F45" s="27">
        <v>0</v>
      </c>
      <c r="G45" s="11">
        <f>SUM(C45:F45)</f>
        <v>4.7773629999999994</v>
      </c>
      <c r="H45" s="7"/>
      <c r="I45" s="7"/>
    </row>
    <row r="46" spans="2:9" x14ac:dyDescent="0.25">
      <c r="B46" s="37"/>
      <c r="C46" s="37"/>
      <c r="D46" s="37"/>
      <c r="E46" s="37"/>
      <c r="F46" s="37"/>
      <c r="G46" s="37"/>
      <c r="H46" s="37"/>
      <c r="I46" s="7"/>
    </row>
    <row r="47" spans="2:9" x14ac:dyDescent="0.25">
      <c r="B47" s="51" t="s">
        <v>40</v>
      </c>
      <c r="C47" s="51"/>
      <c r="D47" s="51"/>
      <c r="E47" s="51"/>
      <c r="F47" s="51"/>
      <c r="G47" s="51"/>
      <c r="I47" s="7"/>
    </row>
    <row r="48" spans="2:9" x14ac:dyDescent="0.25">
      <c r="B48" s="14" t="s">
        <v>41</v>
      </c>
      <c r="C48" s="27">
        <v>115292</v>
      </c>
      <c r="D48" s="27">
        <v>48267</v>
      </c>
      <c r="E48" s="27">
        <v>7629</v>
      </c>
      <c r="F48" s="27">
        <v>39381</v>
      </c>
      <c r="G48" s="27">
        <f>SUM(C48:F48)</f>
        <v>210569</v>
      </c>
      <c r="H48" s="7"/>
      <c r="I48" s="7"/>
    </row>
    <row r="49" spans="2:9" x14ac:dyDescent="0.25">
      <c r="B49" s="14" t="s">
        <v>42</v>
      </c>
      <c r="C49" s="27">
        <f>(58017247318+1179578255)/1000000</f>
        <v>59196.825573000002</v>
      </c>
      <c r="D49" s="27">
        <v>18199.221494000001</v>
      </c>
      <c r="E49" s="27">
        <v>6566.3953229999997</v>
      </c>
      <c r="F49" s="27">
        <v>8320.9021470000007</v>
      </c>
      <c r="G49" s="11">
        <f>SUM(C49:F49)</f>
        <v>92283.344537000012</v>
      </c>
      <c r="H49" s="7"/>
      <c r="I49" s="7"/>
    </row>
    <row r="50" spans="2:9" x14ac:dyDescent="0.25">
      <c r="B50" s="37"/>
      <c r="C50" s="37"/>
      <c r="D50" s="37"/>
      <c r="E50" s="37"/>
      <c r="F50" s="37"/>
      <c r="G50" s="37"/>
      <c r="H50" s="37"/>
    </row>
    <row r="51" spans="2:9" ht="21" x14ac:dyDescent="0.35">
      <c r="B51" s="41" t="s">
        <v>43</v>
      </c>
      <c r="C51" s="42"/>
      <c r="D51" s="42"/>
      <c r="E51" s="42"/>
      <c r="F51" s="42"/>
      <c r="G51" s="43"/>
    </row>
    <row r="52" spans="2:9" x14ac:dyDescent="0.25">
      <c r="B52" s="53"/>
      <c r="C52" s="53"/>
      <c r="D52" s="53"/>
      <c r="E52" s="53"/>
      <c r="F52" s="53"/>
      <c r="G52" s="53"/>
      <c r="H52" s="53"/>
    </row>
    <row r="53" spans="2:9" x14ac:dyDescent="0.25">
      <c r="B53" s="51" t="s">
        <v>44</v>
      </c>
      <c r="C53" s="51"/>
      <c r="D53" s="51"/>
      <c r="E53" s="51"/>
      <c r="F53" s="51"/>
      <c r="G53" s="51"/>
    </row>
    <row r="54" spans="2:9" x14ac:dyDescent="0.25">
      <c r="B54" s="54" t="s">
        <v>45</v>
      </c>
      <c r="C54" s="54"/>
      <c r="D54" s="54"/>
      <c r="E54" s="54"/>
      <c r="F54" s="54"/>
      <c r="G54" s="54"/>
    </row>
    <row r="55" spans="2:9" x14ac:dyDescent="0.25">
      <c r="B55" s="14" t="s">
        <v>46</v>
      </c>
      <c r="C55" s="27">
        <v>126289</v>
      </c>
      <c r="D55" s="27">
        <v>7077</v>
      </c>
      <c r="E55" s="27">
        <v>1100</v>
      </c>
      <c r="F55" s="27">
        <v>4857</v>
      </c>
      <c r="G55" s="27">
        <f t="shared" ref="G55:G71" si="0">SUM(C55:F55)</f>
        <v>139323</v>
      </c>
    </row>
    <row r="56" spans="2:9" x14ac:dyDescent="0.25">
      <c r="B56" s="14" t="s">
        <v>47</v>
      </c>
      <c r="C56" s="27">
        <v>94098.887753000003</v>
      </c>
      <c r="D56" s="27">
        <v>10691.8964130001</v>
      </c>
      <c r="E56" s="27">
        <v>1748.6077029999999</v>
      </c>
      <c r="F56" s="27">
        <v>7830</v>
      </c>
      <c r="G56" s="27">
        <f t="shared" si="0"/>
        <v>114369.3918690001</v>
      </c>
    </row>
    <row r="57" spans="2:9" x14ac:dyDescent="0.25">
      <c r="B57" s="14" t="s">
        <v>48</v>
      </c>
      <c r="C57" s="27">
        <v>16.819667587834299</v>
      </c>
      <c r="D57" s="27">
        <v>40</v>
      </c>
      <c r="E57" s="27">
        <v>21.693636363636365</v>
      </c>
      <c r="F57" s="27">
        <v>22</v>
      </c>
      <c r="G57" s="27">
        <f>AVERAGE(C57:F57)</f>
        <v>25.128325987867669</v>
      </c>
    </row>
    <row r="58" spans="2:9" x14ac:dyDescent="0.25">
      <c r="B58" s="14" t="s">
        <v>49</v>
      </c>
      <c r="C58" s="27">
        <v>1250761</v>
      </c>
      <c r="D58" s="27">
        <v>182611</v>
      </c>
      <c r="E58" s="27">
        <v>49464</v>
      </c>
      <c r="F58" s="27">
        <v>95653</v>
      </c>
      <c r="G58" s="27">
        <f t="shared" si="0"/>
        <v>1578489</v>
      </c>
    </row>
    <row r="59" spans="2:9" x14ac:dyDescent="0.25">
      <c r="B59" s="14" t="s">
        <v>50</v>
      </c>
      <c r="C59" s="27">
        <v>2606660.2185359998</v>
      </c>
      <c r="D59" s="27">
        <v>370683.267032</v>
      </c>
      <c r="E59" s="27">
        <v>116973.181212</v>
      </c>
      <c r="F59" s="27">
        <v>251744</v>
      </c>
      <c r="G59" s="11">
        <f t="shared" si="0"/>
        <v>3346060.6667800001</v>
      </c>
    </row>
    <row r="60" spans="2:9" x14ac:dyDescent="0.25">
      <c r="B60" s="54" t="s">
        <v>51</v>
      </c>
      <c r="C60" s="54"/>
      <c r="D60" s="54"/>
      <c r="E60" s="54"/>
      <c r="F60" s="54"/>
      <c r="G60" s="54"/>
    </row>
    <row r="61" spans="2:9" x14ac:dyDescent="0.25">
      <c r="B61" s="14" t="s">
        <v>46</v>
      </c>
      <c r="C61" s="20">
        <v>0</v>
      </c>
      <c r="D61" s="14">
        <v>0</v>
      </c>
      <c r="E61" s="14">
        <v>0</v>
      </c>
      <c r="F61" s="20">
        <v>0</v>
      </c>
      <c r="G61" s="27">
        <f t="shared" si="0"/>
        <v>0</v>
      </c>
    </row>
    <row r="62" spans="2:9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9" x14ac:dyDescent="0.25">
      <c r="B63" s="14" t="s">
        <v>48</v>
      </c>
      <c r="C63" s="20">
        <v>0</v>
      </c>
      <c r="D63" s="24">
        <v>0</v>
      </c>
      <c r="E63" s="24">
        <v>0</v>
      </c>
      <c r="F63" s="20">
        <v>0</v>
      </c>
      <c r="G63" s="20">
        <v>0</v>
      </c>
    </row>
    <row r="64" spans="2:9" x14ac:dyDescent="0.25">
      <c r="B64" s="14" t="s">
        <v>49</v>
      </c>
      <c r="C64" s="20">
        <v>0</v>
      </c>
      <c r="D64" s="27">
        <v>0</v>
      </c>
      <c r="E64" s="27">
        <v>0</v>
      </c>
      <c r="F64" s="20">
        <v>0</v>
      </c>
      <c r="G64" s="27">
        <f t="shared" si="0"/>
        <v>0</v>
      </c>
    </row>
    <row r="65" spans="2:8" x14ac:dyDescent="0.25">
      <c r="B65" s="14" t="s">
        <v>50</v>
      </c>
      <c r="C65" s="20">
        <v>0</v>
      </c>
      <c r="D65" s="27">
        <v>0</v>
      </c>
      <c r="E65" s="27">
        <v>0</v>
      </c>
      <c r="F65" s="20">
        <v>0</v>
      </c>
      <c r="G65" s="11">
        <f t="shared" si="0"/>
        <v>0</v>
      </c>
    </row>
    <row r="66" spans="2:8" x14ac:dyDescent="0.25">
      <c r="B66" s="54" t="s">
        <v>52</v>
      </c>
      <c r="C66" s="54"/>
      <c r="D66" s="54"/>
      <c r="E66" s="54"/>
      <c r="F66" s="54"/>
      <c r="G66" s="54"/>
    </row>
    <row r="67" spans="2:8" x14ac:dyDescent="0.25">
      <c r="B67" s="14" t="s">
        <v>46</v>
      </c>
      <c r="C67" s="27">
        <v>4967</v>
      </c>
      <c r="D67" s="27">
        <v>2311</v>
      </c>
      <c r="E67" s="27">
        <v>2127</v>
      </c>
      <c r="F67" s="27">
        <v>6914</v>
      </c>
      <c r="G67" s="27">
        <f t="shared" si="0"/>
        <v>16319</v>
      </c>
    </row>
    <row r="68" spans="2:8" x14ac:dyDescent="0.25">
      <c r="B68" s="14" t="s">
        <v>47</v>
      </c>
      <c r="C68" s="27">
        <v>5005.307006</v>
      </c>
      <c r="D68" s="27">
        <v>2679.6030489999998</v>
      </c>
      <c r="E68" s="27">
        <v>3145.3096190000001</v>
      </c>
      <c r="F68" s="27">
        <v>7180</v>
      </c>
      <c r="G68" s="27">
        <f t="shared" si="0"/>
        <v>18010.219674</v>
      </c>
    </row>
    <row r="69" spans="2:8" x14ac:dyDescent="0.25">
      <c r="B69" s="14" t="s">
        <v>48</v>
      </c>
      <c r="C69" s="27">
        <v>32.6756593517214</v>
      </c>
      <c r="D69" s="27">
        <v>54</v>
      </c>
      <c r="E69" s="27">
        <v>51.939351198871648</v>
      </c>
      <c r="F69" s="27">
        <v>49</v>
      </c>
      <c r="G69" s="27">
        <f>AVERAGE(C69:F69)</f>
        <v>46.903752637648267</v>
      </c>
    </row>
    <row r="70" spans="2:8" x14ac:dyDescent="0.25">
      <c r="B70" s="14" t="s">
        <v>49</v>
      </c>
      <c r="C70" s="27">
        <v>146791</v>
      </c>
      <c r="D70" s="27">
        <v>101770</v>
      </c>
      <c r="E70" s="27">
        <v>101177</v>
      </c>
      <c r="F70" s="27">
        <v>296486</v>
      </c>
      <c r="G70" s="27">
        <f t="shared" si="0"/>
        <v>646224</v>
      </c>
    </row>
    <row r="71" spans="2:8" x14ac:dyDescent="0.25">
      <c r="B71" s="14" t="s">
        <v>50</v>
      </c>
      <c r="C71" s="27">
        <v>177257.285752</v>
      </c>
      <c r="D71" s="27">
        <v>123982.519304</v>
      </c>
      <c r="E71" s="27">
        <v>129163.20230200001</v>
      </c>
      <c r="F71" s="27">
        <v>328201</v>
      </c>
      <c r="G71" s="11">
        <f t="shared" si="0"/>
        <v>758604.00735800003</v>
      </c>
    </row>
    <row r="72" spans="2:8" x14ac:dyDescent="0.25">
      <c r="B72" s="55" t="s">
        <v>53</v>
      </c>
      <c r="C72" s="56"/>
      <c r="D72" s="56"/>
      <c r="E72" s="56"/>
      <c r="F72" s="56"/>
      <c r="G72" s="57"/>
    </row>
    <row r="73" spans="2:8" x14ac:dyDescent="0.25">
      <c r="B73" s="18" t="s">
        <v>54</v>
      </c>
      <c r="C73" s="19">
        <f>+C55+C67</f>
        <v>131256</v>
      </c>
      <c r="D73" s="19">
        <f>+D67+D61+D55</f>
        <v>9388</v>
      </c>
      <c r="E73" s="19">
        <v>3227</v>
      </c>
      <c r="F73" s="19">
        <f>+F55+F67</f>
        <v>11771</v>
      </c>
      <c r="G73" s="19">
        <f>SUM(C73:F73)</f>
        <v>155642</v>
      </c>
    </row>
    <row r="74" spans="2:8" x14ac:dyDescent="0.25">
      <c r="B74" s="18" t="s">
        <v>47</v>
      </c>
      <c r="C74" s="19">
        <f>+C56+C68</f>
        <v>99104.194759000005</v>
      </c>
      <c r="D74" s="19">
        <f>+D68+D62+D56</f>
        <v>13371.4994620001</v>
      </c>
      <c r="E74" s="19">
        <v>4893.9173220000002</v>
      </c>
      <c r="F74" s="19">
        <f>+F56+F68</f>
        <v>15010</v>
      </c>
      <c r="G74" s="22">
        <f>SUM(C74:F74)</f>
        <v>132379.61154300009</v>
      </c>
    </row>
    <row r="75" spans="2:8" x14ac:dyDescent="0.25">
      <c r="B75" s="18" t="s">
        <v>48</v>
      </c>
      <c r="C75" s="19">
        <v>17.4196912903029</v>
      </c>
      <c r="D75" s="19">
        <f>(+D57+D63+D69)/3</f>
        <v>31.333333333333332</v>
      </c>
      <c r="E75" s="19">
        <v>41.629377130461727</v>
      </c>
      <c r="F75" s="19">
        <f>(F57+F69)/2</f>
        <v>35.5</v>
      </c>
      <c r="G75" s="19">
        <f>AVERAGE(C75:F75)</f>
        <v>31.470600438524492</v>
      </c>
    </row>
    <row r="76" spans="2:8" x14ac:dyDescent="0.25">
      <c r="B76" s="18" t="s">
        <v>49</v>
      </c>
      <c r="C76" s="19">
        <f>+C58+C70</f>
        <v>1397552</v>
      </c>
      <c r="D76" s="19">
        <f t="shared" ref="D76" si="1">+D70+D64+D58</f>
        <v>284381</v>
      </c>
      <c r="E76" s="19">
        <v>150641</v>
      </c>
      <c r="F76" s="19">
        <f>+F58+F70</f>
        <v>392139</v>
      </c>
      <c r="G76" s="19">
        <f>SUM(C76:F76)</f>
        <v>2224713</v>
      </c>
    </row>
    <row r="77" spans="2:8" x14ac:dyDescent="0.25">
      <c r="B77" s="18" t="s">
        <v>50</v>
      </c>
      <c r="C77" s="19">
        <f>+C59+C71</f>
        <v>2783917.5042879996</v>
      </c>
      <c r="D77" s="19">
        <f>+D71+D65+D59</f>
        <v>494665.78633600002</v>
      </c>
      <c r="E77" s="19">
        <v>246136.38351399999</v>
      </c>
      <c r="F77" s="19">
        <f>+F59+F71</f>
        <v>579945</v>
      </c>
      <c r="G77" s="22">
        <f>SUM(C77:F77)</f>
        <v>4104664.6741379998</v>
      </c>
    </row>
    <row r="78" spans="2:8" x14ac:dyDescent="0.25">
      <c r="B78" s="37"/>
      <c r="C78" s="37"/>
      <c r="D78" s="37"/>
      <c r="E78" s="37"/>
      <c r="F78" s="37"/>
      <c r="G78" s="37"/>
      <c r="H78" s="37"/>
    </row>
    <row r="79" spans="2:8" x14ac:dyDescent="0.25">
      <c r="B79" s="44" t="s">
        <v>55</v>
      </c>
      <c r="C79" s="45"/>
      <c r="D79" s="45"/>
      <c r="E79" s="45"/>
      <c r="F79" s="45"/>
      <c r="G79" s="46"/>
    </row>
    <row r="80" spans="2:8" x14ac:dyDescent="0.25">
      <c r="B80" s="47" t="s">
        <v>45</v>
      </c>
      <c r="C80" s="48"/>
      <c r="D80" s="48"/>
      <c r="E80" s="48"/>
      <c r="F80" s="48"/>
      <c r="G80" s="49"/>
    </row>
    <row r="81" spans="2:7" x14ac:dyDescent="0.25">
      <c r="B81" s="14" t="s">
        <v>46</v>
      </c>
      <c r="C81" s="24">
        <v>0</v>
      </c>
      <c r="D81" s="24">
        <v>0</v>
      </c>
      <c r="E81" s="24">
        <f t="shared" ref="E81:F83" si="2">SUM(A81:D81)</f>
        <v>0</v>
      </c>
      <c r="F81" s="24">
        <f t="shared" si="2"/>
        <v>0</v>
      </c>
      <c r="G81" s="20">
        <f>SUM(C81:F81)</f>
        <v>0</v>
      </c>
    </row>
    <row r="82" spans="2:7" x14ac:dyDescent="0.25">
      <c r="B82" s="14" t="s">
        <v>47</v>
      </c>
      <c r="C82" s="24">
        <v>0</v>
      </c>
      <c r="D82" s="24">
        <v>0</v>
      </c>
      <c r="E82" s="24">
        <f t="shared" si="2"/>
        <v>0</v>
      </c>
      <c r="F82" s="24">
        <f t="shared" si="2"/>
        <v>0</v>
      </c>
      <c r="G82" s="24">
        <f>SUM(C82:F82)</f>
        <v>0</v>
      </c>
    </row>
    <row r="83" spans="2:7" x14ac:dyDescent="0.25">
      <c r="B83" s="14" t="s">
        <v>48</v>
      </c>
      <c r="C83" s="24">
        <v>0</v>
      </c>
      <c r="D83" s="24">
        <v>0</v>
      </c>
      <c r="E83" s="24">
        <f t="shared" si="2"/>
        <v>0</v>
      </c>
      <c r="F83" s="24">
        <f t="shared" si="2"/>
        <v>0</v>
      </c>
      <c r="G83" s="24">
        <f>AVERAGE(C83:F83)</f>
        <v>0</v>
      </c>
    </row>
    <row r="84" spans="2:7" x14ac:dyDescent="0.25">
      <c r="B84" s="14" t="s">
        <v>49</v>
      </c>
      <c r="C84" s="24">
        <v>923</v>
      </c>
      <c r="D84" s="24">
        <v>103</v>
      </c>
      <c r="E84" s="24">
        <v>5</v>
      </c>
      <c r="F84" s="24">
        <v>83</v>
      </c>
      <c r="G84" s="24">
        <f>SUM(C84:F84)</f>
        <v>1114</v>
      </c>
    </row>
    <row r="85" spans="2:7" x14ac:dyDescent="0.25">
      <c r="B85" s="14" t="s">
        <v>50</v>
      </c>
      <c r="C85" s="24">
        <v>19437.280337</v>
      </c>
      <c r="D85" s="24">
        <v>1237</v>
      </c>
      <c r="E85" s="24">
        <v>58</v>
      </c>
      <c r="F85" s="24">
        <v>1482.5053760000001</v>
      </c>
      <c r="G85" s="11">
        <f>SUM(C85:F85)</f>
        <v>22214.785713000001</v>
      </c>
    </row>
    <row r="86" spans="2:7" x14ac:dyDescent="0.25">
      <c r="B86" s="47" t="s">
        <v>51</v>
      </c>
      <c r="C86" s="48"/>
      <c r="D86" s="48"/>
      <c r="E86" s="48"/>
      <c r="F86" s="48"/>
      <c r="G86" s="49"/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27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27">
        <f>SUM(C88:F88)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27">
        <f>AVERAGE(C89:F89)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27">
        <f>SUM(C90:F90)</f>
        <v>0</v>
      </c>
    </row>
    <row r="91" spans="2:7" x14ac:dyDescent="0.25">
      <c r="B91" s="14" t="s">
        <v>50</v>
      </c>
      <c r="C91" s="20">
        <v>0</v>
      </c>
      <c r="D91" s="14">
        <v>0</v>
      </c>
      <c r="E91" s="20">
        <v>0</v>
      </c>
      <c r="F91" s="24">
        <v>0</v>
      </c>
      <c r="G91" s="27">
        <f>SUM(C91:F91)</f>
        <v>0</v>
      </c>
    </row>
    <row r="92" spans="2:7" x14ac:dyDescent="0.25">
      <c r="B92" s="47" t="s">
        <v>52</v>
      </c>
      <c r="C92" s="48"/>
      <c r="D92" s="48"/>
      <c r="E92" s="48"/>
      <c r="F92" s="48"/>
      <c r="G92" s="49"/>
    </row>
    <row r="93" spans="2:7" x14ac:dyDescent="0.25">
      <c r="B93" s="14" t="s">
        <v>46</v>
      </c>
      <c r="C93" s="27">
        <v>0</v>
      </c>
      <c r="D93" s="27">
        <v>0</v>
      </c>
      <c r="E93" s="27">
        <v>0</v>
      </c>
      <c r="F93" s="27">
        <v>0</v>
      </c>
      <c r="G93" s="27">
        <f>SUM(C93:F93)</f>
        <v>0</v>
      </c>
    </row>
    <row r="94" spans="2:7" x14ac:dyDescent="0.25">
      <c r="B94" s="14" t="s">
        <v>47</v>
      </c>
      <c r="C94" s="27">
        <v>0</v>
      </c>
      <c r="D94" s="27">
        <v>0</v>
      </c>
      <c r="E94" s="27">
        <v>0</v>
      </c>
      <c r="F94" s="27">
        <v>0</v>
      </c>
      <c r="G94" s="27">
        <f>SUM(C94:F94)</f>
        <v>0</v>
      </c>
    </row>
    <row r="95" spans="2:7" x14ac:dyDescent="0.25">
      <c r="B95" s="14" t="s">
        <v>48</v>
      </c>
      <c r="C95" s="27">
        <v>0</v>
      </c>
      <c r="D95" s="27">
        <v>0</v>
      </c>
      <c r="E95" s="27">
        <v>0</v>
      </c>
      <c r="F95" s="27">
        <v>0</v>
      </c>
      <c r="G95" s="27">
        <f>AVERAGE(C95:F95)</f>
        <v>0</v>
      </c>
    </row>
    <row r="96" spans="2:7" x14ac:dyDescent="0.25">
      <c r="B96" s="14" t="s">
        <v>49</v>
      </c>
      <c r="C96" s="27">
        <v>9</v>
      </c>
      <c r="D96" s="27">
        <v>0</v>
      </c>
      <c r="E96" s="27">
        <v>0</v>
      </c>
      <c r="F96" s="27">
        <v>6</v>
      </c>
      <c r="G96" s="27">
        <f>SUM(C96:F96)</f>
        <v>15</v>
      </c>
    </row>
    <row r="97" spans="2:8" x14ac:dyDescent="0.25">
      <c r="B97" s="14" t="s">
        <v>50</v>
      </c>
      <c r="C97" s="27">
        <v>143.71363600000001</v>
      </c>
      <c r="D97" s="27">
        <v>0</v>
      </c>
      <c r="E97" s="27">
        <v>0</v>
      </c>
      <c r="F97" s="27">
        <v>69.677923000000007</v>
      </c>
      <c r="G97" s="11">
        <f>SUM(C97:F97)</f>
        <v>213.39155900000003</v>
      </c>
    </row>
    <row r="98" spans="2:8" x14ac:dyDescent="0.25">
      <c r="B98" s="55" t="s">
        <v>56</v>
      </c>
      <c r="C98" s="56"/>
      <c r="D98" s="56"/>
      <c r="E98" s="56"/>
      <c r="F98" s="56"/>
      <c r="G98" s="57"/>
    </row>
    <row r="99" spans="2:8" x14ac:dyDescent="0.25">
      <c r="B99" s="18" t="s">
        <v>46</v>
      </c>
      <c r="C99" s="19">
        <v>0</v>
      </c>
      <c r="D99" s="19">
        <v>0</v>
      </c>
      <c r="E99" s="19">
        <v>0</v>
      </c>
      <c r="F99" s="19">
        <v>0</v>
      </c>
      <c r="G99" s="19">
        <f>SUM(C99:F99)</f>
        <v>0</v>
      </c>
    </row>
    <row r="100" spans="2:8" x14ac:dyDescent="0.25">
      <c r="B100" s="18" t="s">
        <v>47</v>
      </c>
      <c r="C100" s="19">
        <v>0</v>
      </c>
      <c r="D100" s="19">
        <v>0</v>
      </c>
      <c r="E100" s="19">
        <v>0</v>
      </c>
      <c r="F100" s="19">
        <v>0</v>
      </c>
      <c r="G100" s="22">
        <f>SUM(C100:F100)</f>
        <v>0</v>
      </c>
    </row>
    <row r="101" spans="2:8" x14ac:dyDescent="0.25">
      <c r="B101" s="18" t="s">
        <v>48</v>
      </c>
      <c r="C101" s="19">
        <v>0</v>
      </c>
      <c r="D101" s="19">
        <v>0</v>
      </c>
      <c r="E101" s="19">
        <v>0</v>
      </c>
      <c r="F101" s="19">
        <v>0</v>
      </c>
      <c r="G101" s="19">
        <f>AVERAGE(C101:F101)</f>
        <v>0</v>
      </c>
    </row>
    <row r="102" spans="2:8" x14ac:dyDescent="0.25">
      <c r="B102" s="18" t="s">
        <v>49</v>
      </c>
      <c r="C102" s="19">
        <f>+C96+C84</f>
        <v>932</v>
      </c>
      <c r="D102" s="19">
        <f t="shared" ref="D102:D103" si="3">+D96+D90+D84</f>
        <v>103</v>
      </c>
      <c r="E102" s="19">
        <f>+E84</f>
        <v>5</v>
      </c>
      <c r="F102" s="19">
        <f>+F96+F84</f>
        <v>89</v>
      </c>
      <c r="G102" s="19">
        <f>SUM(C102:F102)</f>
        <v>1129</v>
      </c>
    </row>
    <row r="103" spans="2:8" x14ac:dyDescent="0.25">
      <c r="B103" s="18" t="s">
        <v>50</v>
      </c>
      <c r="C103" s="19">
        <f>+C97+C85</f>
        <v>19580.993973000001</v>
      </c>
      <c r="D103" s="19">
        <f t="shared" si="3"/>
        <v>1237</v>
      </c>
      <c r="E103" s="19">
        <f>+E85</f>
        <v>58</v>
      </c>
      <c r="F103" s="19">
        <f>+F85+F97</f>
        <v>1552.183299</v>
      </c>
      <c r="G103" s="22">
        <f>SUM(C103:F103)</f>
        <v>22428.177272000001</v>
      </c>
    </row>
    <row r="104" spans="2:8" x14ac:dyDescent="0.25">
      <c r="B104" s="37"/>
      <c r="C104" s="37"/>
      <c r="D104" s="37"/>
      <c r="E104" s="37"/>
      <c r="F104" s="37"/>
      <c r="G104" s="37"/>
      <c r="H104" s="37"/>
    </row>
    <row r="105" spans="2:8" x14ac:dyDescent="0.25">
      <c r="B105" s="51" t="s">
        <v>57</v>
      </c>
      <c r="C105" s="51"/>
      <c r="D105" s="51"/>
      <c r="E105" s="51"/>
      <c r="F105" s="51"/>
      <c r="G105" s="51"/>
    </row>
    <row r="106" spans="2:8" x14ac:dyDescent="0.25">
      <c r="B106" s="54" t="s">
        <v>58</v>
      </c>
      <c r="C106" s="54"/>
      <c r="D106" s="54"/>
      <c r="E106" s="54"/>
      <c r="F106" s="54"/>
      <c r="G106" s="54"/>
    </row>
    <row r="107" spans="2:8" x14ac:dyDescent="0.25">
      <c r="B107" s="14" t="s">
        <v>59</v>
      </c>
      <c r="C107" s="13">
        <v>2.4336812830005221</v>
      </c>
      <c r="D107" s="13">
        <v>2.5499999999999998</v>
      </c>
      <c r="E107" s="13">
        <v>2.86</v>
      </c>
      <c r="F107" s="13">
        <v>2.54</v>
      </c>
      <c r="G107" s="13">
        <f>AVERAGE(C107:F107)</f>
        <v>2.59592032075013</v>
      </c>
    </row>
    <row r="108" spans="2:8" x14ac:dyDescent="0.25">
      <c r="B108" s="14" t="s">
        <v>60</v>
      </c>
      <c r="C108" s="13">
        <v>2.3028787150800265</v>
      </c>
      <c r="D108" s="13">
        <v>2.56</v>
      </c>
      <c r="E108" s="13">
        <v>2.7272200772200774</v>
      </c>
      <c r="F108" s="13">
        <v>2.54</v>
      </c>
      <c r="G108" s="13">
        <f>AVERAGE(C108:F108)</f>
        <v>2.5325246980750258</v>
      </c>
    </row>
    <row r="109" spans="2:8" x14ac:dyDescent="0.25">
      <c r="B109" s="14" t="s">
        <v>61</v>
      </c>
      <c r="C109" s="13">
        <v>2.0521537184042522</v>
      </c>
      <c r="D109" s="13">
        <v>2.56</v>
      </c>
      <c r="E109" s="13">
        <v>2.5948056537102473</v>
      </c>
      <c r="F109" s="13">
        <v>2.54</v>
      </c>
      <c r="G109" s="13">
        <f>AVERAGE(C109:F109)</f>
        <v>2.4367398430286249</v>
      </c>
    </row>
    <row r="110" spans="2:8" x14ac:dyDescent="0.25">
      <c r="B110" s="54" t="s">
        <v>62</v>
      </c>
      <c r="C110" s="54"/>
      <c r="D110" s="54"/>
      <c r="E110" s="54"/>
      <c r="F110" s="54"/>
      <c r="G110" s="54"/>
    </row>
    <row r="111" spans="2:8" x14ac:dyDescent="0.25">
      <c r="B111" s="14" t="s">
        <v>59</v>
      </c>
      <c r="C111" s="13">
        <v>1.5118750000000016</v>
      </c>
      <c r="D111" s="13">
        <v>1.95</v>
      </c>
      <c r="E111" s="13">
        <v>1.95</v>
      </c>
      <c r="F111" s="13">
        <v>2.0699999999999998</v>
      </c>
      <c r="G111" s="13">
        <f>AVERAGE(C111:F111)</f>
        <v>1.8704687500000006</v>
      </c>
    </row>
    <row r="112" spans="2:8" x14ac:dyDescent="0.25">
      <c r="B112" s="14" t="s">
        <v>60</v>
      </c>
      <c r="C112" s="13">
        <v>1.5123826714801369</v>
      </c>
      <c r="D112" s="13">
        <v>2.09</v>
      </c>
      <c r="E112" s="13">
        <v>2</v>
      </c>
      <c r="F112" s="13">
        <v>2.0699999999999998</v>
      </c>
      <c r="G112" s="13">
        <f>AVERAGE(C112:F112)</f>
        <v>1.918095667870034</v>
      </c>
    </row>
    <row r="113" spans="2:9" x14ac:dyDescent="0.25">
      <c r="B113" s="14" t="s">
        <v>61</v>
      </c>
      <c r="C113" s="13">
        <v>1.5324714291174411</v>
      </c>
      <c r="D113" s="13">
        <v>2.09</v>
      </c>
      <c r="E113" s="13">
        <v>2</v>
      </c>
      <c r="F113" s="13">
        <v>2.0699999999999998</v>
      </c>
      <c r="G113" s="13">
        <f>AVERAGE(C113:F113)</f>
        <v>1.9231178572793604</v>
      </c>
    </row>
    <row r="114" spans="2:9" x14ac:dyDescent="0.25">
      <c r="B114" s="37"/>
      <c r="C114" s="37"/>
      <c r="D114" s="37"/>
      <c r="E114" s="37"/>
      <c r="F114" s="37"/>
      <c r="G114" s="37"/>
      <c r="H114" s="37"/>
      <c r="I114" s="37"/>
    </row>
    <row r="115" spans="2:9" x14ac:dyDescent="0.25">
      <c r="B115" s="54" t="s">
        <v>63</v>
      </c>
      <c r="C115" s="54"/>
      <c r="D115" s="54"/>
      <c r="E115" s="54"/>
      <c r="F115" s="54"/>
      <c r="G115" s="54"/>
    </row>
    <row r="116" spans="2:9" x14ac:dyDescent="0.25">
      <c r="B116" s="14" t="s">
        <v>59</v>
      </c>
      <c r="C116" s="13">
        <v>1.465934922089847</v>
      </c>
      <c r="D116" s="13">
        <v>1.79</v>
      </c>
      <c r="E116" s="13">
        <v>1.85</v>
      </c>
      <c r="F116" s="13">
        <v>1.79</v>
      </c>
      <c r="G116" s="13">
        <f>AVERAGE(C116:F116)</f>
        <v>1.7239837305224619</v>
      </c>
    </row>
    <row r="117" spans="2:9" x14ac:dyDescent="0.25">
      <c r="B117" s="14" t="s">
        <v>60</v>
      </c>
      <c r="C117" s="13">
        <v>1.7569096005606473</v>
      </c>
      <c r="D117" s="13">
        <v>1.79</v>
      </c>
      <c r="E117" s="13">
        <v>1.85</v>
      </c>
      <c r="F117" s="13">
        <v>1.79</v>
      </c>
      <c r="G117" s="13">
        <f>AVERAGE(C117:F117)</f>
        <v>1.7967274001401619</v>
      </c>
    </row>
    <row r="118" spans="2:9" x14ac:dyDescent="0.25">
      <c r="B118" s="14" t="s">
        <v>61</v>
      </c>
      <c r="C118" s="13">
        <v>1.7050696943730488</v>
      </c>
      <c r="D118" s="13">
        <v>1.74</v>
      </c>
      <c r="E118" s="13">
        <v>1.8233033762448385</v>
      </c>
      <c r="F118" s="13">
        <v>1.74</v>
      </c>
      <c r="G118" s="13">
        <f>AVERAGE(C118:F118)</f>
        <v>1.7520932676544718</v>
      </c>
    </row>
    <row r="119" spans="2:9" x14ac:dyDescent="0.25">
      <c r="B119" s="47" t="s">
        <v>64</v>
      </c>
      <c r="C119" s="48"/>
      <c r="D119" s="48"/>
      <c r="E119" s="48"/>
      <c r="F119" s="48"/>
      <c r="G119" s="49"/>
    </row>
    <row r="120" spans="2:9" x14ac:dyDescent="0.25">
      <c r="B120" s="14" t="s">
        <v>59</v>
      </c>
      <c r="C120" s="13"/>
      <c r="D120" s="13">
        <v>1.43</v>
      </c>
      <c r="E120" s="13">
        <v>0</v>
      </c>
      <c r="F120" s="60">
        <v>1.43E-2</v>
      </c>
      <c r="G120" s="13">
        <f>AVERAGE(C120:F120)</f>
        <v>0.48143333333333332</v>
      </c>
    </row>
    <row r="121" spans="2:9" x14ac:dyDescent="0.25">
      <c r="B121" s="14" t="s">
        <v>60</v>
      </c>
      <c r="C121" s="13">
        <v>1.33</v>
      </c>
      <c r="D121" s="13">
        <v>1.43</v>
      </c>
      <c r="E121" s="13">
        <v>0</v>
      </c>
      <c r="F121" s="60">
        <v>1.43E-2</v>
      </c>
      <c r="G121" s="13">
        <f>AVERAGE(C121:F121)</f>
        <v>0.69357499999999994</v>
      </c>
    </row>
    <row r="122" spans="2:9" ht="15.75" thickBot="1" x14ac:dyDescent="0.3">
      <c r="B122" s="14" t="s">
        <v>61</v>
      </c>
      <c r="C122" s="13">
        <v>1.4107692307692306</v>
      </c>
      <c r="D122" s="13">
        <v>1.43</v>
      </c>
      <c r="E122" s="13">
        <v>1.52</v>
      </c>
      <c r="F122" s="61">
        <v>1.43E-2</v>
      </c>
      <c r="G122" s="13">
        <f>AVERAGE(C122:F122)</f>
        <v>1.0937673076923078</v>
      </c>
    </row>
    <row r="123" spans="2:9" x14ac:dyDescent="0.25">
      <c r="B123" s="37"/>
      <c r="C123" s="37"/>
      <c r="D123" s="37"/>
      <c r="E123" s="37"/>
      <c r="F123" s="37"/>
      <c r="G123" s="37"/>
      <c r="H123" s="37"/>
    </row>
    <row r="124" spans="2:9" x14ac:dyDescent="0.25">
      <c r="B124" s="44" t="s">
        <v>65</v>
      </c>
      <c r="C124" s="45"/>
      <c r="D124" s="45"/>
      <c r="E124" s="45"/>
      <c r="F124" s="45"/>
      <c r="G124" s="46"/>
    </row>
    <row r="125" spans="2:9" x14ac:dyDescent="0.25">
      <c r="B125" s="2" t="s">
        <v>66</v>
      </c>
      <c r="C125" s="13">
        <v>0</v>
      </c>
      <c r="D125" s="26">
        <v>0</v>
      </c>
      <c r="E125" s="20">
        <v>0</v>
      </c>
      <c r="F125" s="20">
        <v>0</v>
      </c>
      <c r="G125" s="11">
        <f>AVERAGE(C125:F125)</f>
        <v>0</v>
      </c>
    </row>
    <row r="126" spans="2:9" x14ac:dyDescent="0.25">
      <c r="B126" s="44" t="s">
        <v>67</v>
      </c>
      <c r="C126" s="45"/>
      <c r="D126" s="45"/>
      <c r="E126" s="45"/>
      <c r="F126" s="45"/>
      <c r="G126" s="46"/>
    </row>
    <row r="127" spans="2:9" x14ac:dyDescent="0.25">
      <c r="B127" s="3" t="s">
        <v>68</v>
      </c>
      <c r="C127" s="13">
        <v>2</v>
      </c>
      <c r="D127" s="30">
        <v>2.1406170000000002</v>
      </c>
      <c r="E127" s="35">
        <v>2.1028202884055132</v>
      </c>
      <c r="F127" s="13">
        <v>0</v>
      </c>
      <c r="G127" s="11">
        <f>AVERAGE(C127:E127)</f>
        <v>2.0811457628018379</v>
      </c>
    </row>
    <row r="128" spans="2:9" x14ac:dyDescent="0.25">
      <c r="B128" s="58"/>
      <c r="C128" s="58"/>
      <c r="D128" s="58"/>
      <c r="E128" s="58"/>
      <c r="F128" s="58"/>
      <c r="G128" s="58"/>
      <c r="H128" s="58"/>
    </row>
    <row r="129" spans="2:9" x14ac:dyDescent="0.25">
      <c r="B129" s="51" t="s">
        <v>69</v>
      </c>
      <c r="C129" s="51"/>
      <c r="D129" s="51"/>
      <c r="E129" s="51"/>
      <c r="F129" s="51"/>
      <c r="G129" s="51"/>
    </row>
    <row r="130" spans="2:9" x14ac:dyDescent="0.25">
      <c r="B130" s="14" t="s">
        <v>70</v>
      </c>
      <c r="C130" s="27">
        <v>263362</v>
      </c>
      <c r="D130" s="27">
        <v>3349</v>
      </c>
      <c r="E130" s="27">
        <v>6063</v>
      </c>
      <c r="F130" s="27">
        <v>750</v>
      </c>
      <c r="G130" s="27">
        <f>SUM(C130:F130)</f>
        <v>273524</v>
      </c>
    </row>
    <row r="131" spans="2:9" x14ac:dyDescent="0.25">
      <c r="B131" s="14" t="s">
        <v>71</v>
      </c>
      <c r="C131" s="27">
        <v>163409.08530199999</v>
      </c>
      <c r="D131" s="27">
        <v>2629</v>
      </c>
      <c r="E131" s="27">
        <v>712484</v>
      </c>
      <c r="F131" s="27">
        <v>792.63398500000005</v>
      </c>
      <c r="G131" s="11">
        <f>SUM(C131:F131)</f>
        <v>879314.7192869999</v>
      </c>
    </row>
    <row r="132" spans="2:9" x14ac:dyDescent="0.25">
      <c r="B132" s="37"/>
      <c r="C132" s="37"/>
      <c r="D132" s="37"/>
      <c r="E132" s="37"/>
      <c r="F132" s="37"/>
      <c r="G132" s="37"/>
      <c r="H132" s="37"/>
    </row>
    <row r="133" spans="2:9" x14ac:dyDescent="0.25">
      <c r="B133" s="51" t="s">
        <v>72</v>
      </c>
      <c r="C133" s="51"/>
      <c r="D133" s="51"/>
      <c r="E133" s="51"/>
      <c r="F133" s="51"/>
      <c r="G133" s="51"/>
    </row>
    <row r="134" spans="2:9" x14ac:dyDescent="0.25">
      <c r="B134" s="14" t="s">
        <v>73</v>
      </c>
      <c r="C134" s="27">
        <v>391587</v>
      </c>
      <c r="D134" s="27">
        <v>442756</v>
      </c>
      <c r="E134" s="27">
        <v>173132</v>
      </c>
      <c r="F134" s="27">
        <v>400963</v>
      </c>
      <c r="G134" s="27">
        <f>SUM(C134:F134)</f>
        <v>1408438</v>
      </c>
    </row>
    <row r="135" spans="2:9" x14ac:dyDescent="0.25">
      <c r="B135" s="37"/>
      <c r="C135" s="37"/>
      <c r="D135" s="37"/>
      <c r="E135" s="37"/>
      <c r="F135" s="37"/>
      <c r="G135" s="37"/>
      <c r="H135" s="37"/>
    </row>
    <row r="136" spans="2:9" ht="21" x14ac:dyDescent="0.35">
      <c r="B136" s="59" t="s">
        <v>74</v>
      </c>
      <c r="C136" s="59"/>
      <c r="D136" s="59"/>
      <c r="E136" s="59"/>
      <c r="F136" s="59"/>
      <c r="G136" s="59"/>
    </row>
    <row r="137" spans="2:9" x14ac:dyDescent="0.25">
      <c r="B137" s="51" t="s">
        <v>75</v>
      </c>
      <c r="C137" s="51"/>
      <c r="D137" s="51"/>
      <c r="E137" s="51"/>
      <c r="F137" s="51"/>
      <c r="G137" s="51"/>
    </row>
    <row r="138" spans="2:9" x14ac:dyDescent="0.25">
      <c r="B138" s="14" t="s">
        <v>76</v>
      </c>
      <c r="C138" s="27">
        <v>0</v>
      </c>
      <c r="D138" s="27">
        <v>0</v>
      </c>
      <c r="E138" s="27">
        <v>0</v>
      </c>
      <c r="F138" s="27">
        <v>14135</v>
      </c>
      <c r="G138" s="27">
        <f>SUM(C138:F138)</f>
        <v>14135</v>
      </c>
      <c r="H138" s="7"/>
      <c r="I138" s="7"/>
    </row>
    <row r="139" spans="2:9" x14ac:dyDescent="0.25">
      <c r="B139" s="14" t="s">
        <v>77</v>
      </c>
      <c r="C139" s="27">
        <v>0</v>
      </c>
      <c r="D139" s="27">
        <v>0</v>
      </c>
      <c r="E139" s="27">
        <v>0</v>
      </c>
      <c r="F139" s="27">
        <v>155</v>
      </c>
      <c r="G139" s="27">
        <f>SUM(C139:F139)</f>
        <v>155</v>
      </c>
      <c r="H139" s="7"/>
      <c r="I139" s="7"/>
    </row>
    <row r="140" spans="2:9" x14ac:dyDescent="0.25">
      <c r="B140" s="37"/>
      <c r="C140" s="37"/>
      <c r="D140" s="37"/>
      <c r="E140" s="37"/>
      <c r="F140" s="37"/>
      <c r="G140" s="37"/>
      <c r="H140" s="37"/>
      <c r="I140" s="7"/>
    </row>
    <row r="141" spans="2:9" x14ac:dyDescent="0.25">
      <c r="B141" s="37"/>
      <c r="C141" s="37"/>
      <c r="D141" s="37"/>
      <c r="E141" s="37"/>
      <c r="F141" s="37"/>
      <c r="G141" s="37"/>
      <c r="H141" s="37"/>
    </row>
    <row r="142" spans="2:9" ht="21" x14ac:dyDescent="0.35">
      <c r="B142" s="41" t="s">
        <v>78</v>
      </c>
      <c r="C142" s="42"/>
      <c r="D142" s="42"/>
      <c r="E142" s="42"/>
      <c r="F142" s="42"/>
      <c r="G142" s="43"/>
    </row>
    <row r="143" spans="2:9" x14ac:dyDescent="0.25">
      <c r="B143" s="44" t="s">
        <v>79</v>
      </c>
      <c r="C143" s="45"/>
      <c r="D143" s="45"/>
      <c r="E143" s="45"/>
      <c r="F143" s="45"/>
      <c r="G143" s="46"/>
    </row>
    <row r="144" spans="2:9" x14ac:dyDescent="0.25">
      <c r="B144" s="37"/>
      <c r="C144" s="37"/>
      <c r="D144" s="37"/>
      <c r="E144" s="37"/>
      <c r="F144" s="37"/>
      <c r="G144" s="37"/>
      <c r="H144" s="37"/>
    </row>
    <row r="145" spans="2:8" x14ac:dyDescent="0.25">
      <c r="B145" s="54" t="s">
        <v>80</v>
      </c>
      <c r="C145" s="54"/>
      <c r="D145" s="54"/>
      <c r="E145" s="54"/>
      <c r="F145" s="54"/>
      <c r="G145" s="54"/>
    </row>
    <row r="146" spans="2:8" x14ac:dyDescent="0.25">
      <c r="B146" s="14" t="s">
        <v>81</v>
      </c>
      <c r="C146" s="27">
        <v>0</v>
      </c>
      <c r="D146" s="27">
        <v>1334</v>
      </c>
      <c r="E146" s="27">
        <v>0</v>
      </c>
      <c r="F146" s="27">
        <v>1100</v>
      </c>
      <c r="G146" s="27">
        <f>SUM(C146:F146)</f>
        <v>2434</v>
      </c>
    </row>
    <row r="147" spans="2:8" x14ac:dyDescent="0.25">
      <c r="B147" s="14" t="s">
        <v>82</v>
      </c>
      <c r="C147" s="27">
        <v>0</v>
      </c>
      <c r="D147" s="27">
        <v>29.584</v>
      </c>
      <c r="E147" s="27">
        <v>0</v>
      </c>
      <c r="F147" s="27">
        <v>12.826499999999999</v>
      </c>
      <c r="G147" s="11">
        <f>SUM(C147:F147)</f>
        <v>42.410499999999999</v>
      </c>
    </row>
    <row r="148" spans="2:8" x14ac:dyDescent="0.25">
      <c r="B148" s="37"/>
      <c r="C148" s="37"/>
      <c r="D148" s="37"/>
      <c r="E148" s="37"/>
      <c r="F148" s="37"/>
      <c r="G148" s="37"/>
      <c r="H148" s="37"/>
    </row>
    <row r="149" spans="2:8" x14ac:dyDescent="0.25">
      <c r="B149" s="54" t="s">
        <v>83</v>
      </c>
      <c r="C149" s="54"/>
      <c r="D149" s="54"/>
      <c r="E149" s="54"/>
      <c r="F149" s="54"/>
      <c r="G149" s="54"/>
    </row>
    <row r="150" spans="2:8" x14ac:dyDescent="0.25">
      <c r="B150" s="14" t="s">
        <v>84</v>
      </c>
      <c r="C150" s="27">
        <v>0</v>
      </c>
      <c r="D150" s="29">
        <v>0</v>
      </c>
      <c r="E150" s="27">
        <v>0</v>
      </c>
      <c r="F150" s="27">
        <v>0</v>
      </c>
      <c r="G150" s="27">
        <f>SUM(C150:F150)</f>
        <v>0</v>
      </c>
      <c r="H150"/>
    </row>
    <row r="151" spans="2:8" x14ac:dyDescent="0.25">
      <c r="B151" s="14" t="s">
        <v>85</v>
      </c>
      <c r="C151" s="27">
        <v>0</v>
      </c>
      <c r="D151" s="29">
        <v>2.1999999999999999E-2</v>
      </c>
      <c r="E151" s="27">
        <v>0</v>
      </c>
      <c r="F151" s="27">
        <v>0</v>
      </c>
      <c r="G151" s="11">
        <f>SUM(C151:F151)</f>
        <v>2.1999999999999999E-2</v>
      </c>
      <c r="H151"/>
    </row>
    <row r="152" spans="2:8" x14ac:dyDescent="0.25">
      <c r="B152" s="37"/>
      <c r="C152" s="37"/>
      <c r="D152" s="37"/>
      <c r="E152" s="37"/>
      <c r="F152" s="37"/>
      <c r="G152" s="37"/>
      <c r="H152" s="37"/>
    </row>
    <row r="153" spans="2:8" x14ac:dyDescent="0.25">
      <c r="B153" s="54" t="s">
        <v>86</v>
      </c>
      <c r="C153" s="54"/>
      <c r="D153" s="54"/>
      <c r="E153" s="54"/>
      <c r="F153" s="54"/>
      <c r="G153" s="54"/>
    </row>
    <row r="154" spans="2:8" x14ac:dyDescent="0.25">
      <c r="B154" s="14" t="s">
        <v>87</v>
      </c>
      <c r="C154" s="27">
        <v>0</v>
      </c>
      <c r="D154" s="27">
        <v>83</v>
      </c>
      <c r="E154" s="27">
        <v>30</v>
      </c>
      <c r="F154" s="27">
        <v>0</v>
      </c>
      <c r="G154" s="27">
        <f>SUM(C154:F154)</f>
        <v>113</v>
      </c>
      <c r="H154"/>
    </row>
    <row r="155" spans="2:8" x14ac:dyDescent="0.25">
      <c r="B155" s="14" t="s">
        <v>88</v>
      </c>
      <c r="C155" s="27">
        <v>0</v>
      </c>
      <c r="D155" s="27">
        <v>1.19</v>
      </c>
      <c r="E155" s="27">
        <v>0.93500000000000005</v>
      </c>
      <c r="F155" s="27">
        <v>0</v>
      </c>
      <c r="G155" s="11">
        <f>SUM(C155:F155)</f>
        <v>2.125</v>
      </c>
      <c r="H155"/>
    </row>
    <row r="156" spans="2:8" x14ac:dyDescent="0.25">
      <c r="B156" s="37"/>
      <c r="C156" s="37"/>
      <c r="D156" s="37"/>
      <c r="E156" s="37"/>
      <c r="F156" s="37"/>
      <c r="G156" s="37"/>
      <c r="H156" s="37"/>
    </row>
    <row r="157" spans="2:8" x14ac:dyDescent="0.25">
      <c r="B157" s="47" t="s">
        <v>89</v>
      </c>
      <c r="C157" s="48"/>
      <c r="D157" s="48"/>
      <c r="E157" s="48"/>
      <c r="F157" s="48"/>
      <c r="G157" s="49"/>
    </row>
    <row r="158" spans="2:8" x14ac:dyDescent="0.25">
      <c r="B158" s="18" t="s">
        <v>90</v>
      </c>
      <c r="C158" s="19">
        <v>0</v>
      </c>
      <c r="D158" s="19">
        <f>D146+D150+D154</f>
        <v>1417</v>
      </c>
      <c r="E158" s="19">
        <v>30</v>
      </c>
      <c r="F158" s="19">
        <f t="shared" ref="F158:F159" si="4">+F146+F154</f>
        <v>1100</v>
      </c>
      <c r="G158" s="19">
        <f>SUM(C158:F158)</f>
        <v>2547</v>
      </c>
    </row>
    <row r="159" spans="2:8" x14ac:dyDescent="0.25">
      <c r="B159" s="18" t="s">
        <v>91</v>
      </c>
      <c r="C159" s="19">
        <v>0</v>
      </c>
      <c r="D159" s="19">
        <f>D147+D151+D155</f>
        <v>30.795999999999999</v>
      </c>
      <c r="E159" s="19">
        <v>0.93500000000000005</v>
      </c>
      <c r="F159" s="19">
        <f t="shared" si="4"/>
        <v>12.826499999999999</v>
      </c>
      <c r="G159" s="22">
        <f>SUM(C159:F159)</f>
        <v>44.557499999999997</v>
      </c>
    </row>
    <row r="160" spans="2:8" x14ac:dyDescent="0.25">
      <c r="B160" s="37"/>
      <c r="C160" s="37"/>
      <c r="D160" s="37"/>
      <c r="E160" s="37"/>
      <c r="F160" s="37"/>
      <c r="G160" s="37"/>
      <c r="H160" s="37"/>
    </row>
    <row r="161" spans="2:8" x14ac:dyDescent="0.25">
      <c r="B161" s="51" t="s">
        <v>92</v>
      </c>
      <c r="C161" s="51"/>
      <c r="D161" s="51"/>
      <c r="E161" s="51"/>
      <c r="F161" s="51"/>
      <c r="G161" s="51"/>
    </row>
    <row r="162" spans="2:8" x14ac:dyDescent="0.25">
      <c r="B162" s="14" t="s">
        <v>87</v>
      </c>
      <c r="C162" s="27">
        <v>2793</v>
      </c>
      <c r="D162" s="27">
        <v>10514</v>
      </c>
      <c r="E162" s="27">
        <v>7490</v>
      </c>
      <c r="F162" s="27">
        <v>28045</v>
      </c>
      <c r="G162" s="27">
        <f>SUM(C162:F162)</f>
        <v>48842</v>
      </c>
    </row>
    <row r="163" spans="2:8" x14ac:dyDescent="0.25">
      <c r="B163" s="14" t="s">
        <v>88</v>
      </c>
      <c r="C163" s="27">
        <f>69874427/1000000</f>
        <v>69.874426999999997</v>
      </c>
      <c r="D163" s="27">
        <v>48.929102999999998</v>
      </c>
      <c r="E163" s="27">
        <v>141.30404799999999</v>
      </c>
      <c r="F163" s="27">
        <v>155.185833</v>
      </c>
      <c r="G163" s="11">
        <f>SUM(C163:F163)</f>
        <v>415.29341099999999</v>
      </c>
    </row>
    <row r="164" spans="2:8" x14ac:dyDescent="0.25">
      <c r="B164" s="37"/>
      <c r="C164" s="37"/>
      <c r="D164" s="37"/>
      <c r="E164" s="37"/>
      <c r="F164" s="37"/>
      <c r="G164" s="37"/>
    </row>
    <row r="165" spans="2:8" x14ac:dyDescent="0.25">
      <c r="B165" s="44" t="s">
        <v>93</v>
      </c>
      <c r="C165" s="45"/>
      <c r="D165" s="45"/>
      <c r="E165" s="45"/>
      <c r="F165" s="45"/>
      <c r="G165" s="46"/>
    </row>
    <row r="166" spans="2:8" x14ac:dyDescent="0.25">
      <c r="B166" s="47" t="s">
        <v>94</v>
      </c>
      <c r="C166" s="48"/>
      <c r="D166" s="48"/>
      <c r="E166" s="48"/>
      <c r="F166" s="48"/>
      <c r="G166" s="49"/>
    </row>
    <row r="167" spans="2:8" x14ac:dyDescent="0.25">
      <c r="B167" s="14" t="s">
        <v>95</v>
      </c>
      <c r="C167" s="27">
        <v>905</v>
      </c>
      <c r="D167" s="27">
        <v>2384</v>
      </c>
      <c r="E167" s="27">
        <v>81</v>
      </c>
      <c r="F167" s="27">
        <v>549</v>
      </c>
      <c r="G167" s="27">
        <f>SUM(C167:F167)</f>
        <v>3919</v>
      </c>
    </row>
    <row r="168" spans="2:8" x14ac:dyDescent="0.25">
      <c r="B168" s="14" t="s">
        <v>96</v>
      </c>
      <c r="C168" s="27">
        <f>31675000/1000000</f>
        <v>31.675000000000001</v>
      </c>
      <c r="D168" s="27">
        <v>51.81</v>
      </c>
      <c r="E168" s="27">
        <v>4.0999999999999996</v>
      </c>
      <c r="F168" s="27">
        <v>19.71</v>
      </c>
      <c r="G168" s="11">
        <f>SUM(C168:F168)</f>
        <v>107.29499999999999</v>
      </c>
    </row>
    <row r="169" spans="2:8" x14ac:dyDescent="0.25">
      <c r="B169" s="37"/>
      <c r="C169" s="37"/>
      <c r="D169" s="37"/>
      <c r="E169" s="37"/>
      <c r="F169" s="37"/>
      <c r="G169" s="37"/>
    </row>
    <row r="170" spans="2:8" x14ac:dyDescent="0.25">
      <c r="B170" s="47" t="s">
        <v>97</v>
      </c>
      <c r="C170" s="48"/>
      <c r="D170" s="48"/>
      <c r="E170" s="48"/>
      <c r="F170" s="48"/>
      <c r="G170" s="49"/>
    </row>
    <row r="171" spans="2:8" x14ac:dyDescent="0.25">
      <c r="B171" s="14" t="s">
        <v>98</v>
      </c>
      <c r="C171" s="27">
        <v>1747</v>
      </c>
      <c r="D171" s="27">
        <v>232</v>
      </c>
      <c r="E171" s="27">
        <v>77</v>
      </c>
      <c r="F171" s="27">
        <v>384</v>
      </c>
      <c r="G171" s="27">
        <f>SUM(C171:F171)</f>
        <v>2440</v>
      </c>
    </row>
    <row r="172" spans="2:8" x14ac:dyDescent="0.25">
      <c r="B172" s="14" t="s">
        <v>96</v>
      </c>
      <c r="C172" s="27">
        <f>61145000/1000000</f>
        <v>61.145000000000003</v>
      </c>
      <c r="D172" s="27">
        <v>4.8719999999999999</v>
      </c>
      <c r="E172" s="27">
        <v>1.9</v>
      </c>
      <c r="F172" s="27">
        <v>9.5890000000000004</v>
      </c>
      <c r="G172" s="11">
        <f>SUM(C172:F172)</f>
        <v>77.506</v>
      </c>
    </row>
    <row r="173" spans="2:8" x14ac:dyDescent="0.25">
      <c r="B173" s="37"/>
      <c r="C173" s="37"/>
      <c r="D173" s="37"/>
      <c r="E173" s="37"/>
      <c r="F173" s="37"/>
      <c r="G173" s="37"/>
      <c r="H173" s="37"/>
    </row>
    <row r="174" spans="2:8" x14ac:dyDescent="0.25">
      <c r="B174" s="47" t="s">
        <v>99</v>
      </c>
      <c r="C174" s="48"/>
      <c r="D174" s="48"/>
      <c r="E174" s="48"/>
      <c r="F174" s="48"/>
      <c r="G174" s="49"/>
    </row>
    <row r="175" spans="2:8" x14ac:dyDescent="0.25">
      <c r="B175" s="14" t="s">
        <v>98</v>
      </c>
      <c r="C175" s="27">
        <v>268</v>
      </c>
      <c r="D175" s="27">
        <v>371</v>
      </c>
      <c r="E175" s="27">
        <v>237</v>
      </c>
      <c r="F175" s="27">
        <v>47</v>
      </c>
      <c r="G175" s="27">
        <f>SUM(C175:F175)</f>
        <v>923</v>
      </c>
    </row>
    <row r="176" spans="2:8" x14ac:dyDescent="0.25">
      <c r="B176" s="14" t="s">
        <v>96</v>
      </c>
      <c r="C176" s="27">
        <f>27860000/1000000</f>
        <v>27.86</v>
      </c>
      <c r="D176" s="27">
        <v>38.11</v>
      </c>
      <c r="E176" s="27">
        <v>13</v>
      </c>
      <c r="F176" s="27">
        <v>4.9450000000000003</v>
      </c>
      <c r="G176" s="11">
        <f>SUM(C176:F176)</f>
        <v>83.914999999999992</v>
      </c>
    </row>
    <row r="177" spans="2:8" x14ac:dyDescent="0.25">
      <c r="B177" s="37"/>
      <c r="C177" s="37"/>
      <c r="D177" s="37"/>
      <c r="E177" s="37"/>
      <c r="F177" s="37"/>
      <c r="G177" s="37"/>
      <c r="H177" s="37"/>
    </row>
    <row r="178" spans="2:8" x14ac:dyDescent="0.25">
      <c r="B178" s="47" t="s">
        <v>100</v>
      </c>
      <c r="C178" s="48"/>
      <c r="D178" s="48"/>
      <c r="E178" s="48"/>
      <c r="F178" s="48"/>
      <c r="G178" s="49"/>
    </row>
    <row r="179" spans="2:8" x14ac:dyDescent="0.25">
      <c r="B179" s="14" t="s">
        <v>98</v>
      </c>
      <c r="C179" s="27">
        <v>252</v>
      </c>
      <c r="D179" s="27">
        <v>72</v>
      </c>
      <c r="E179" s="27">
        <v>0</v>
      </c>
      <c r="F179" s="27">
        <v>0</v>
      </c>
      <c r="G179" s="27">
        <f>SUM(C179:F179)</f>
        <v>324</v>
      </c>
    </row>
    <row r="180" spans="2:8" x14ac:dyDescent="0.25">
      <c r="B180" s="14" t="s">
        <v>96</v>
      </c>
      <c r="C180" s="27">
        <f>10225000/1000000</f>
        <v>10.225</v>
      </c>
      <c r="D180" s="27">
        <v>7.109254</v>
      </c>
      <c r="E180" s="27">
        <v>0</v>
      </c>
      <c r="F180" s="27">
        <v>0</v>
      </c>
      <c r="G180" s="11">
        <f>SUM(C180:F180)</f>
        <v>17.334254000000001</v>
      </c>
    </row>
    <row r="181" spans="2:8" x14ac:dyDescent="0.25">
      <c r="B181" s="37"/>
      <c r="C181" s="37"/>
      <c r="D181" s="37"/>
      <c r="E181" s="37"/>
      <c r="F181" s="37"/>
      <c r="G181" s="37"/>
      <c r="H181" s="37"/>
    </row>
    <row r="182" spans="2:8" x14ac:dyDescent="0.25">
      <c r="B182" s="51" t="s">
        <v>101</v>
      </c>
      <c r="C182" s="51"/>
      <c r="D182" s="51"/>
      <c r="E182" s="51"/>
      <c r="F182" s="51"/>
      <c r="G182" s="51"/>
    </row>
    <row r="183" spans="2:8" x14ac:dyDescent="0.25">
      <c r="B183" s="18" t="s">
        <v>102</v>
      </c>
      <c r="C183" s="19">
        <f>+C179+C175+C171+C167</f>
        <v>3172</v>
      </c>
      <c r="D183" s="19">
        <f>D167+D171+D175+D179</f>
        <v>3059</v>
      </c>
      <c r="E183" s="19">
        <v>395</v>
      </c>
      <c r="F183" s="19">
        <f>+F179+F175+F171+F167</f>
        <v>980</v>
      </c>
      <c r="G183" s="19">
        <f>SUM(C183:F183)</f>
        <v>7606</v>
      </c>
    </row>
    <row r="184" spans="2:8" x14ac:dyDescent="0.25">
      <c r="B184" s="18" t="s">
        <v>103</v>
      </c>
      <c r="C184" s="19">
        <f>+C180+C176+C172+C168</f>
        <v>130.905</v>
      </c>
      <c r="D184" s="19">
        <f>D168+D172+D176+D180</f>
        <v>101.90125399999999</v>
      </c>
      <c r="E184" s="19">
        <v>19</v>
      </c>
      <c r="F184" s="19">
        <f>+F180+F176+F172+F168</f>
        <v>34.244</v>
      </c>
      <c r="G184" s="22">
        <f>SUM(C184:F184)</f>
        <v>286.050254</v>
      </c>
    </row>
    <row r="185" spans="2:8" x14ac:dyDescent="0.25">
      <c r="B185" s="37"/>
      <c r="C185" s="37"/>
      <c r="D185" s="37"/>
      <c r="E185" s="37"/>
      <c r="F185" s="37"/>
      <c r="G185" s="37"/>
      <c r="H185" s="37"/>
    </row>
    <row r="186" spans="2:8" x14ac:dyDescent="0.25">
      <c r="B186" s="51" t="s">
        <v>104</v>
      </c>
      <c r="C186" s="51"/>
      <c r="D186" s="51"/>
      <c r="E186" s="51"/>
      <c r="F186" s="51"/>
      <c r="G186" s="51"/>
    </row>
    <row r="187" spans="2:8" x14ac:dyDescent="0.25">
      <c r="B187" s="14" t="s">
        <v>105</v>
      </c>
      <c r="C187" s="27">
        <v>8296</v>
      </c>
      <c r="D187" s="27">
        <v>0</v>
      </c>
      <c r="E187" s="27">
        <v>87</v>
      </c>
      <c r="F187" s="27">
        <v>30125</v>
      </c>
      <c r="G187" s="27">
        <f>SUM(C187:F187)</f>
        <v>38508</v>
      </c>
    </row>
    <row r="188" spans="2:8" x14ac:dyDescent="0.25">
      <c r="B188" s="14" t="s">
        <v>106</v>
      </c>
      <c r="C188" s="27">
        <f>103723974/1000000</f>
        <v>103.723974</v>
      </c>
      <c r="D188" s="27">
        <v>0</v>
      </c>
      <c r="E188" s="27">
        <v>4.13</v>
      </c>
      <c r="F188" s="27">
        <v>202.25633300000001</v>
      </c>
      <c r="G188" s="11">
        <f>SUM(C188:F188)</f>
        <v>310.11030700000003</v>
      </c>
    </row>
    <row r="189" spans="2:8" x14ac:dyDescent="0.25">
      <c r="B189" s="37"/>
      <c r="C189" s="37"/>
      <c r="D189" s="37"/>
      <c r="E189" s="37"/>
      <c r="F189" s="37"/>
      <c r="G189" s="37"/>
      <c r="H189" s="37"/>
    </row>
    <row r="190" spans="2:8" x14ac:dyDescent="0.25">
      <c r="B190" s="51" t="s">
        <v>107</v>
      </c>
      <c r="C190" s="51"/>
      <c r="D190" s="51"/>
      <c r="E190" s="51"/>
      <c r="F190" s="51"/>
      <c r="G190" s="51"/>
    </row>
    <row r="191" spans="2:8" x14ac:dyDescent="0.25">
      <c r="B191" s="18" t="s">
        <v>108</v>
      </c>
      <c r="C191" s="19">
        <f>C187+C162+C183</f>
        <v>14261</v>
      </c>
      <c r="D191" s="19">
        <f>+D187+D183+D162+D158</f>
        <v>14990</v>
      </c>
      <c r="E191" s="19">
        <v>7972</v>
      </c>
      <c r="F191" s="19">
        <f>F158+F162+F183+F187</f>
        <v>60250</v>
      </c>
      <c r="G191" s="19">
        <f>SUM(C191:F191)</f>
        <v>97473</v>
      </c>
    </row>
    <row r="192" spans="2:8" x14ac:dyDescent="0.25">
      <c r="B192" s="18" t="s">
        <v>109</v>
      </c>
      <c r="C192" s="19">
        <f>C188+C163+C184</f>
        <v>304.503401</v>
      </c>
      <c r="D192" s="19">
        <f>+D188+D184+D163+D159</f>
        <v>181.62635699999998</v>
      </c>
      <c r="E192" s="19">
        <v>164.43404799999999</v>
      </c>
      <c r="F192" s="19">
        <f>F159+F184+F163+F188</f>
        <v>404.51266599999997</v>
      </c>
      <c r="G192" s="22">
        <f>SUM(C192:F192)</f>
        <v>1055.076472</v>
      </c>
    </row>
    <row r="193" spans="3:7" s="1" customFormat="1" x14ac:dyDescent="0.25">
      <c r="G193" s="7"/>
    </row>
    <row r="194" spans="3:7" s="1" customFormat="1" x14ac:dyDescent="0.25">
      <c r="C194" s="7"/>
      <c r="G194" s="7"/>
    </row>
    <row r="195" spans="3:7" s="1" customFormat="1" x14ac:dyDescent="0.25">
      <c r="G195" s="7"/>
    </row>
    <row r="196" spans="3:7" s="1" customFormat="1" x14ac:dyDescent="0.25">
      <c r="C196" s="8"/>
      <c r="G196" s="7"/>
    </row>
  </sheetData>
  <mergeCells count="80">
    <mergeCell ref="B189:H189"/>
    <mergeCell ref="B190:G190"/>
    <mergeCell ref="B177:H177"/>
    <mergeCell ref="B178:G178"/>
    <mergeCell ref="B181:H181"/>
    <mergeCell ref="B182:G182"/>
    <mergeCell ref="B185:H185"/>
    <mergeCell ref="B186:G186"/>
    <mergeCell ref="B165:G165"/>
    <mergeCell ref="B166:G166"/>
    <mergeCell ref="B169:G169"/>
    <mergeCell ref="B170:G170"/>
    <mergeCell ref="B173:H173"/>
    <mergeCell ref="B174:G174"/>
    <mergeCell ref="B153:G153"/>
    <mergeCell ref="B156:H156"/>
    <mergeCell ref="B157:G157"/>
    <mergeCell ref="B160:H160"/>
    <mergeCell ref="B161:G161"/>
    <mergeCell ref="B164:G164"/>
    <mergeCell ref="B143:G143"/>
    <mergeCell ref="B144:H144"/>
    <mergeCell ref="B145:G145"/>
    <mergeCell ref="B148:H148"/>
    <mergeCell ref="B149:G149"/>
    <mergeCell ref="B152:H152"/>
    <mergeCell ref="B135:H135"/>
    <mergeCell ref="B136:G136"/>
    <mergeCell ref="B137:G137"/>
    <mergeCell ref="B140:H140"/>
    <mergeCell ref="B141:H141"/>
    <mergeCell ref="B142:G142"/>
    <mergeCell ref="B124:G124"/>
    <mergeCell ref="B126:G126"/>
    <mergeCell ref="B128:H128"/>
    <mergeCell ref="B129:G129"/>
    <mergeCell ref="B132:H132"/>
    <mergeCell ref="B133:G133"/>
    <mergeCell ref="B106:G106"/>
    <mergeCell ref="B110:G110"/>
    <mergeCell ref="B114:I114"/>
    <mergeCell ref="B115:G115"/>
    <mergeCell ref="B119:G119"/>
    <mergeCell ref="B123:H123"/>
    <mergeCell ref="B80:G80"/>
    <mergeCell ref="B86:G86"/>
    <mergeCell ref="B92:G92"/>
    <mergeCell ref="B98:G98"/>
    <mergeCell ref="B104:H104"/>
    <mergeCell ref="B105:G105"/>
    <mergeCell ref="B54:G54"/>
    <mergeCell ref="B60:G60"/>
    <mergeCell ref="B66:G66"/>
    <mergeCell ref="B72:G72"/>
    <mergeCell ref="B78:H78"/>
    <mergeCell ref="B79:G79"/>
    <mergeCell ref="B46:H46"/>
    <mergeCell ref="B47:G47"/>
    <mergeCell ref="B50:H50"/>
    <mergeCell ref="B51:G51"/>
    <mergeCell ref="B52:H52"/>
    <mergeCell ref="B53:G53"/>
    <mergeCell ref="B32:G32"/>
    <mergeCell ref="B36:G36"/>
    <mergeCell ref="B38:G38"/>
    <mergeCell ref="B39:G39"/>
    <mergeCell ref="B42:H42"/>
    <mergeCell ref="B43:G43"/>
    <mergeCell ref="B17:G17"/>
    <mergeCell ref="B18:G18"/>
    <mergeCell ref="B20:G20"/>
    <mergeCell ref="B28:H28"/>
    <mergeCell ref="B29:G29"/>
    <mergeCell ref="B31:H31"/>
    <mergeCell ref="C2:G2"/>
    <mergeCell ref="B4:G4"/>
    <mergeCell ref="B5:G5"/>
    <mergeCell ref="B9:G9"/>
    <mergeCell ref="B10:G10"/>
    <mergeCell ref="B11:G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Ene-26</vt:lpstr>
      <vt:lpstr>Feb-26</vt:lpstr>
      <vt:lpstr>Mar-26</vt:lpstr>
      <vt:lpstr>Abr-26</vt:lpstr>
      <vt:lpstr>May-26</vt:lpstr>
      <vt:lpstr>Jun-26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R</dc:creator>
  <cp:keywords/>
  <dc:description/>
  <cp:lastModifiedBy>Cajas de Chile Asociación Gremial</cp:lastModifiedBy>
  <cp:revision/>
  <dcterms:created xsi:type="dcterms:W3CDTF">2020-04-29T19:55:58Z</dcterms:created>
  <dcterms:modified xsi:type="dcterms:W3CDTF">2026-08-31T13:45:28Z</dcterms:modified>
  <cp:category/>
  <cp:contentStatus/>
</cp:coreProperties>
</file>